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docs.live.net/a395077df6df181e/Investing/ERG Stuff/VSCO/"/>
    </mc:Choice>
  </mc:AlternateContent>
  <xr:revisionPtr revIDLastSave="5939" documentId="11_AD4DB114E441178AC67DF4382655E916693EDF18" xr6:coauthVersionLast="47" xr6:coauthVersionMax="47" xr10:uidLastSave="{AEFA44C0-6EBC-426A-B83A-58C02691CB4A}"/>
  <bookViews>
    <workbookView xWindow="-96" yWindow="0" windowWidth="11712" windowHeight="13776" firstSheet="5" activeTab="8" xr2:uid="{00000000-000D-0000-FFFF-FFFF00000000}"/>
  </bookViews>
  <sheets>
    <sheet name="Cover" sheetId="1" r:id="rId1"/>
    <sheet name="3FS" sheetId="2" r:id="rId2"/>
    <sheet name="Assumptions and Inputs" sheetId="37" r:id="rId3"/>
    <sheet name="Scenarios " sheetId="50" r:id="rId4"/>
    <sheet name="Revenue Build" sheetId="5" r:id="rId5"/>
    <sheet name="EBIT Build" sheetId="51" r:id="rId6"/>
    <sheet name="CF Adjustments" sheetId="53" r:id="rId7"/>
    <sheet name="_CIQHiddenCacheSheet" sheetId="85" state="veryHidden" r:id="rId8"/>
    <sheet name="DCF" sheetId="49" r:id="rId9"/>
    <sheet name="WACC" sheetId="68" r:id="rId10"/>
  </sheets>
  <externalReferences>
    <externalReference r:id="rId11"/>
    <externalReference r:id="rId12"/>
    <externalReference r:id="rId13"/>
  </externalReferences>
  <definedNames>
    <definedName name="__FDS_HYPERLINK_TOGGLE_STATE__" hidden="1">"ON"</definedName>
    <definedName name="_Order1" hidden="1">0</definedName>
    <definedName name="Ccy">#REF!</definedName>
    <definedName name="CIQWBGuid" hidden="1">"e6d2be98-da02-45b9-a695-21441e8b9513"</definedName>
    <definedName name="CIQWBInfo" hidden="1">"{ ""CIQVersion"":""9.51.3510.3078"" }"</definedName>
    <definedName name="Conv">#REF!</definedName>
    <definedName name="Conv_Options">#REF!</definedName>
    <definedName name="Date">#REF!</definedName>
    <definedName name="Fil">#REF!</definedName>
    <definedName name="GVKey">""</definedName>
    <definedName name="IQ_ADDIN" hidden="1">"AUTO"</definedName>
    <definedName name="IQ_AVG_PRICE_TARGET" hidden="1">"c82"</definedName>
    <definedName name="IQ_CH">110000</definedName>
    <definedName name="IQ_CONV_RATE" hidden="1">"c2192"</definedName>
    <definedName name="IQ_CQ">5000</definedName>
    <definedName name="IQ_CY">10000</definedName>
    <definedName name="IQ_DAILY">500000</definedName>
    <definedName name="IQ_DNTM" hidden="1">700000</definedName>
    <definedName name="IQ_EPS_PRIMARY_EST" hidden="1">"c2226"</definedName>
    <definedName name="IQ_EPS_PRIMARY_HIGH_EST" hidden="1">"c2228"</definedName>
    <definedName name="IQ_EPS_PRIMARY_LOW_EST" hidden="1">"c2229"</definedName>
    <definedName name="IQ_EPS_PRIMARY_MEDIAN_EST" hidden="1">"c2227"</definedName>
    <definedName name="IQ_EPS_PRIMARY_NUM_EST" hidden="1">"c2230"</definedName>
    <definedName name="IQ_EPS_PRIMARY_STDDEV_EST" hidden="1">"c2231"</definedName>
    <definedName name="IQ_EST_ACT_EPS_PRIMARY" hidden="1">"c2232"</definedName>
    <definedName name="IQ_EST_EPS_SURPRISE" hidden="1">"c1635"</definedName>
    <definedName name="IQ_EST_NUM_BUY_REUT" hidden="1">"c3869"</definedName>
    <definedName name="IQ_EST_NUM_BUY_THOM" hidden="1">"c5165"</definedName>
    <definedName name="IQ_EST_NUM_HOLD_REUT" hidden="1">"c3871"</definedName>
    <definedName name="IQ_EST_NUM_HOLD_THOM" hidden="1">"c5167"</definedName>
    <definedName name="IQ_EST_NUM_OUTPERFORM_REUT" hidden="1">"c3870"</definedName>
    <definedName name="IQ_EST_NUM_OUTPERFORM_THOM" hidden="1">"c5166"</definedName>
    <definedName name="IQ_EST_NUM_SELL_REUT" hidden="1">"c3873"</definedName>
    <definedName name="IQ_EST_NUM_SELL_THOM" hidden="1">"c5169"</definedName>
    <definedName name="IQ_EST_NUM_UNDERPERFORM_REUT" hidden="1">"c3872"</definedName>
    <definedName name="IQ_EST_NUM_UNDERPERFORM_THOM" hidden="1">"c5168"</definedName>
    <definedName name="IQ_EXPENSE_CODE_" hidden="1">"test"</definedName>
    <definedName name="IQ_FH">100000</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"06/29/2025 16:11:47"</definedName>
    <definedName name="IQ_NAV_ACT_OR_EST" hidden="1">"c2225"</definedName>
    <definedName name="IQ_NTM">6000</definedName>
    <definedName name="IQ_OG_TOTAL_OIL_PRODUCTON" hidden="1">"c2059"</definedName>
    <definedName name="IQ_OPENED55" hidden="1">1</definedName>
    <definedName name="IQ_PRIMARY_EPS_TYPE_THOM" hidden="1">"c5297"</definedName>
    <definedName name="IQ_QTD" hidden="1">750000</definedName>
    <definedName name="IQ_SHAREOUTSTANDING" hidden="1">"c1347"</definedName>
    <definedName name="IQ_TODAY" hidden="1">0</definedName>
    <definedName name="IQ_TOTAL_PENSION_OBLIGATION" hidden="1">"c1292"</definedName>
    <definedName name="IQ_WEEK">50000</definedName>
    <definedName name="IQ_YTD">3000</definedName>
    <definedName name="IQ_YTDMONTH" hidden="1">130000</definedName>
    <definedName name="IQRDCFBK14" hidden="1">#REF!</definedName>
    <definedName name="IQRDCFBS14" hidden="1">#REF!</definedName>
    <definedName name="IQRIndexDataA13" hidden="1">'[1]Index Data'!$A$14:$A$66</definedName>
    <definedName name="IQRMultiplesF13" hidden="1">[1]Multiples!$F$14:$F$66</definedName>
    <definedName name="IQRSheet1BK14" hidden="1">#REF!</definedName>
    <definedName name="IQRSheet1BS14" hidden="1">#REF!</definedName>
    <definedName name="IQRWACCAnalysisBB10" hidden="1">#REF!</definedName>
    <definedName name="IQRWACCAnalysisBC10" hidden="1">#REF!</definedName>
    <definedName name="IQRWACCAnalysisBF10" hidden="1">#REF!</definedName>
    <definedName name="IQRWACCAnalysisBF12" hidden="1">#REF!</definedName>
    <definedName name="IQRWACCAnalysisBG12" hidden="1">#REF!</definedName>
    <definedName name="IQRWACCAnalysisBH10" hidden="1">#REF!</definedName>
    <definedName name="IQRWACCAnalysisBH12" hidden="1">#REF!</definedName>
    <definedName name="IQRWACCAnalysisBI12" hidden="1">#REF!</definedName>
    <definedName name="IQRWACCAnalysisBJ10" hidden="1">#REF!</definedName>
    <definedName name="IQRWACCAnalysisBJ12" hidden="1">#REF!</definedName>
    <definedName name="IQRWACCAnalysisBK10" hidden="1">#REF!</definedName>
    <definedName name="IQRWACCAnalysisBK12" hidden="1">'[2]WACC Analysis'!$BK$13:$BK$71</definedName>
    <definedName name="IQRWACCAnalysisBK13" hidden="1">#REF!</definedName>
    <definedName name="IQRWACCAnalysisBK14" hidden="1">#REF!</definedName>
    <definedName name="IQRWACCAnalysisBL10" hidden="1">#REF!</definedName>
    <definedName name="IQRWACCAnalysisBM10" hidden="1">#REF!</definedName>
    <definedName name="IQRWACCAnalysisBN10" hidden="1">#REF!</definedName>
    <definedName name="IQRWACCAnalysisBN12" hidden="1">#REF!</definedName>
    <definedName name="IQRWACCAnalysisBO10" hidden="1">#REF!</definedName>
    <definedName name="IQRWACCAnalysisBO12" hidden="1">#REF!</definedName>
    <definedName name="IQRWACCAnalysisBP10" hidden="1">#REF!</definedName>
    <definedName name="IQRWACCAnalysisBP12" hidden="1">#REF!</definedName>
    <definedName name="IQRWACCAnalysisBQ10" hidden="1">#REF!</definedName>
    <definedName name="IQRWACCAnalysisBQ12" hidden="1">#REF!</definedName>
    <definedName name="IQRWACCAnalysisBR10" hidden="1">#REF!</definedName>
    <definedName name="IQRWACCAnalysisBR12" hidden="1">#REF!</definedName>
    <definedName name="IQRWACCAnalysisBS10" hidden="1">#REF!</definedName>
    <definedName name="IQRWACCAnalysisBS12" hidden="1">'[2]WACC Analysis'!$BS$13:$BS$88</definedName>
    <definedName name="IQRWACCAnalysisBS13" hidden="1">#REF!</definedName>
    <definedName name="IQRWACCAnalysisBS14" hidden="1">#REF!</definedName>
    <definedName name="IQRWACCAnalysisBT10" hidden="1">#REF!</definedName>
    <definedName name="IQRWACCAnalysisBU10" hidden="1">#REF!</definedName>
    <definedName name="IQRWACCAnalysisBV10" hidden="1">#REF!</definedName>
    <definedName name="IQRWACCAnalysisBW10" hidden="1">#REF!</definedName>
    <definedName name="IQRWACCAnalysisBX10" hidden="1">#REF!</definedName>
    <definedName name="IQRWACCAnalysisBY10" hidden="1">#REF!</definedName>
    <definedName name="IQRWACCAnalysisBZ10" hidden="1">#REF!</definedName>
    <definedName name="IQRWACCAnalysisCA10" hidden="1">#REF!</definedName>
    <definedName name="IQRWACCAnalysisCB10" hidden="1">#REF!</definedName>
    <definedName name="IQRWACCAnalysisCC10" hidden="1">#REF!</definedName>
    <definedName name="IQRWACCAnalysisCD10" hidden="1">#REF!</definedName>
    <definedName name="Languages">OFFSET('[3]Language Index'!$CZ$8,,,'[3]Language Index'!$A$5)</definedName>
    <definedName name="ListOffset" hidden="1">1</definedName>
    <definedName name="o" hidden="1">{#N/A,#N/A,FALSE,"New Depr Sch-150% DB";#N/A,#N/A,FALSE,"Cash Flows RLP";#N/A,#N/A,FALSE,"IRR";#N/A,#N/A,FALSE,"Proforma IS";#N/A,#N/A,FALSE,"Assumptions"}</definedName>
    <definedName name="_xlnm.Print_Area" localSheetId="3">'Scenarios '!$B$1:$K$40</definedName>
    <definedName name="Rates">OFFSET(#REF!,#REF!,,#REF!)</definedName>
    <definedName name="SPSet">"current"</definedName>
    <definedName name="SPWS_WBID">"D37EBD5C-BA90-4B94-B2F1-78539D014FA9"</definedName>
    <definedName name="wrn.Basic._.Report." hidden="1">{#N/A,#N/A,FALSE,"New Depr Sch-150% DB";#N/A,#N/A,FALSE,"Cash Flows RLP";#N/A,#N/A,FALSE,"IRR";#N/A,#N/A,FALSE,"Proforma IS";#N/A,#N/A,FALSE,"Assumptions"}</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omplete._.Report." hidden="1">{#N/A,#N/A,FALSE,"Assumptions";#N/A,#N/A,FALSE,"Proforma IS";#N/A,#N/A,FALSE,"Cash Flows RLP";#N/A,#N/A,FALSE,"IRR";#N/A,#N/A,FALSE,"New Depr Sch-150% DB";#N/A,#N/A,FALSE,"Comments"}</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print." hidden="1">{#N/A,#N/A,FALSE,"Japan 2003";#N/A,#N/A,FALSE,"Sheet2"}</definedName>
  </definedNames>
  <calcPr calcId="191029" iterateDelta="9.999999999999445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49" l="1"/>
  <c r="D5" i="68"/>
  <c r="D6" i="68" s="1"/>
  <c r="D8" i="68"/>
  <c r="M11" i="68"/>
  <c r="M5" i="68" a="1"/>
  <c r="M5" i="68" s="1"/>
  <c r="M6" i="68" a="1"/>
  <c r="M6" i="68" s="1"/>
  <c r="M7" i="68" a="1"/>
  <c r="M7" i="68" s="1"/>
  <c r="M8" i="68" a="1"/>
  <c r="M8" i="68" s="1"/>
  <c r="M9" i="68" a="1"/>
  <c r="M9" i="68" s="1"/>
  <c r="M4" i="68" a="1"/>
  <c r="M4" i="68" s="1"/>
  <c r="D29" i="68"/>
  <c r="C27" i="68"/>
  <c r="B27" i="68"/>
  <c r="D18" i="68"/>
  <c r="D23" i="68"/>
  <c r="D22" i="68"/>
  <c r="D21" i="68"/>
  <c r="D14" i="68"/>
  <c r="D12" i="68"/>
  <c r="D10" i="68" l="1"/>
  <c r="D27" i="68" s="1"/>
  <c r="E51" i="49" l="1"/>
  <c r="E47" i="49"/>
  <c r="E45" i="49"/>
  <c r="E46" i="49"/>
  <c r="B1" i="49" l="1"/>
  <c r="C4" i="49"/>
  <c r="C5" i="49"/>
  <c r="G5" i="49" a="1"/>
  <c r="G5" i="49" s="1"/>
  <c r="D17" i="68" s="1"/>
  <c r="D19" i="68" s="1"/>
  <c r="F13" i="49"/>
  <c r="G13" i="49"/>
  <c r="H13" i="49"/>
  <c r="I13" i="49"/>
  <c r="F15" i="49"/>
  <c r="G15" i="49"/>
  <c r="G16" i="49" s="1"/>
  <c r="H15" i="49"/>
  <c r="H16" i="49" s="1"/>
  <c r="I15" i="49"/>
  <c r="I16" i="49" s="1"/>
  <c r="F17" i="49"/>
  <c r="G17" i="49"/>
  <c r="H17" i="49"/>
  <c r="I17" i="49"/>
  <c r="F19" i="49"/>
  <c r="F20" i="49" s="1"/>
  <c r="G19" i="49"/>
  <c r="G20" i="49" s="1"/>
  <c r="H19" i="49"/>
  <c r="H20" i="49" s="1"/>
  <c r="I19" i="49"/>
  <c r="I20" i="49" s="1"/>
  <c r="F26" i="49"/>
  <c r="G26" i="49"/>
  <c r="H26" i="49"/>
  <c r="I26" i="49"/>
  <c r="F28" i="49"/>
  <c r="G28" i="49"/>
  <c r="H28" i="49"/>
  <c r="I28" i="49"/>
  <c r="B1" i="53"/>
  <c r="A4" i="53"/>
  <c r="D4" i="53"/>
  <c r="E4" i="53"/>
  <c r="F4" i="53"/>
  <c r="G4" i="53"/>
  <c r="H4" i="53"/>
  <c r="I4" i="53"/>
  <c r="R4" i="53"/>
  <c r="S4" i="53"/>
  <c r="T4" i="53"/>
  <c r="U4" i="53"/>
  <c r="D5" i="53"/>
  <c r="E5" i="53"/>
  <c r="F5" i="53"/>
  <c r="G5" i="53"/>
  <c r="H5" i="53"/>
  <c r="H12" i="53" s="1"/>
  <c r="U15" i="53" s="1"/>
  <c r="I5" i="53"/>
  <c r="I12" i="53" s="1"/>
  <c r="O14" i="53" s="1"/>
  <c r="F8" i="53"/>
  <c r="F6" i="53"/>
  <c r="F9" i="53"/>
  <c r="G8" i="53"/>
  <c r="G6" i="53"/>
  <c r="G9" i="53"/>
  <c r="T5" i="53" s="1"/>
  <c r="T6" i="53" s="1"/>
  <c r="H8" i="53"/>
  <c r="H6" i="53"/>
  <c r="H9" i="53" s="1"/>
  <c r="U5" i="53" s="1"/>
  <c r="D6" i="53"/>
  <c r="D9" i="53" s="1"/>
  <c r="E6" i="53"/>
  <c r="I6" i="53"/>
  <c r="U6" i="53"/>
  <c r="D8" i="53"/>
  <c r="E8" i="53"/>
  <c r="I8" i="53"/>
  <c r="E9" i="53"/>
  <c r="I9" i="53"/>
  <c r="B11" i="53"/>
  <c r="D11" i="53"/>
  <c r="D12" i="53" s="1"/>
  <c r="E11" i="53"/>
  <c r="E12" i="53" s="1"/>
  <c r="F11" i="53"/>
  <c r="F12" i="53" s="1"/>
  <c r="G11" i="53"/>
  <c r="H11" i="53"/>
  <c r="I11" i="53"/>
  <c r="R13" i="53"/>
  <c r="S13" i="53"/>
  <c r="S20" i="53" s="1"/>
  <c r="S27" i="53" s="1"/>
  <c r="T13" i="53"/>
  <c r="T20" i="53" s="1"/>
  <c r="T27" i="53" s="1"/>
  <c r="U13" i="53"/>
  <c r="U20" i="53" s="1"/>
  <c r="U27" i="53" s="1"/>
  <c r="U14" i="53"/>
  <c r="Y15" i="53"/>
  <c r="B18" i="53"/>
  <c r="D18" i="53"/>
  <c r="E18" i="53"/>
  <c r="F18" i="53"/>
  <c r="G18" i="53"/>
  <c r="H18" i="53"/>
  <c r="I18" i="53"/>
  <c r="D19" i="53"/>
  <c r="E19" i="53"/>
  <c r="F19" i="53"/>
  <c r="G19" i="53"/>
  <c r="T22" i="53" s="1"/>
  <c r="H19" i="53"/>
  <c r="U22" i="53" s="1"/>
  <c r="R20" i="53"/>
  <c r="R27" i="53" s="1"/>
  <c r="T21" i="53"/>
  <c r="U21" i="53"/>
  <c r="Z22" i="53"/>
  <c r="B26" i="53"/>
  <c r="D26" i="53"/>
  <c r="E26" i="53"/>
  <c r="F26" i="53"/>
  <c r="F30" i="53" s="1"/>
  <c r="G26" i="53"/>
  <c r="G30" i="53" s="1"/>
  <c r="H26" i="53"/>
  <c r="H30" i="53" s="1"/>
  <c r="I26" i="53"/>
  <c r="I30" i="53" s="1"/>
  <c r="B27" i="53"/>
  <c r="D27" i="53"/>
  <c r="D30" i="53" s="1"/>
  <c r="D31" i="53" s="1"/>
  <c r="E27" i="53"/>
  <c r="E30" i="53" s="1"/>
  <c r="F27" i="53"/>
  <c r="G27" i="53"/>
  <c r="H27" i="53"/>
  <c r="I27" i="53"/>
  <c r="B28" i="53"/>
  <c r="D28" i="53"/>
  <c r="E28" i="53"/>
  <c r="F28" i="53"/>
  <c r="G28" i="53"/>
  <c r="H28" i="53"/>
  <c r="I28" i="53"/>
  <c r="W29" i="53"/>
  <c r="X29" i="53"/>
  <c r="Y29" i="53"/>
  <c r="Z29" i="53"/>
  <c r="H32" i="53"/>
  <c r="I30" i="49" s="1"/>
  <c r="B1" i="51"/>
  <c r="A4" i="51"/>
  <c r="D4" i="51"/>
  <c r="N6" i="51" s="1"/>
  <c r="E4" i="51"/>
  <c r="N5" i="51" s="1"/>
  <c r="F4" i="51"/>
  <c r="G4" i="51"/>
  <c r="H4" i="51"/>
  <c r="I4" i="51"/>
  <c r="B5" i="51"/>
  <c r="D5" i="51"/>
  <c r="E5" i="51"/>
  <c r="F5" i="51"/>
  <c r="G5" i="51"/>
  <c r="G16" i="51" s="1"/>
  <c r="H5" i="51"/>
  <c r="H11" i="51" s="1"/>
  <c r="I5" i="51"/>
  <c r="E15" i="51"/>
  <c r="E16" i="51"/>
  <c r="O5" i="51"/>
  <c r="L18" i="37" s="1"/>
  <c r="T5" i="51"/>
  <c r="U5" i="51"/>
  <c r="B6" i="51"/>
  <c r="D6" i="51"/>
  <c r="E6" i="51"/>
  <c r="F6" i="51"/>
  <c r="G6" i="51"/>
  <c r="H6" i="51"/>
  <c r="I6" i="51"/>
  <c r="D15" i="51"/>
  <c r="D16" i="51"/>
  <c r="O6" i="51"/>
  <c r="G15" i="51"/>
  <c r="H15" i="51"/>
  <c r="D7" i="51"/>
  <c r="E7" i="51"/>
  <c r="F7" i="51"/>
  <c r="G7" i="51"/>
  <c r="H7" i="51"/>
  <c r="F15" i="51"/>
  <c r="F16" i="51" s="1"/>
  <c r="I15" i="51"/>
  <c r="T7" i="51"/>
  <c r="U7" i="51"/>
  <c r="B8" i="51"/>
  <c r="D8" i="51"/>
  <c r="D9" i="51" s="1"/>
  <c r="E8" i="51"/>
  <c r="E9" i="51" s="1"/>
  <c r="F8" i="51"/>
  <c r="G8" i="51"/>
  <c r="H8" i="51"/>
  <c r="I8" i="51"/>
  <c r="F9" i="51"/>
  <c r="G9" i="51"/>
  <c r="H9" i="51"/>
  <c r="O9" i="51"/>
  <c r="L13" i="37" s="1"/>
  <c r="B10" i="51"/>
  <c r="D10" i="51"/>
  <c r="D11" i="51" s="1"/>
  <c r="E10" i="51"/>
  <c r="E11" i="51" s="1"/>
  <c r="F10" i="51"/>
  <c r="F11" i="51" s="1"/>
  <c r="G10" i="51"/>
  <c r="H10" i="51"/>
  <c r="I10" i="51"/>
  <c r="B12" i="51"/>
  <c r="D12" i="51"/>
  <c r="E12" i="51"/>
  <c r="F12" i="51"/>
  <c r="G12" i="51"/>
  <c r="H12" i="51"/>
  <c r="I12" i="51"/>
  <c r="B13" i="51"/>
  <c r="D13" i="51"/>
  <c r="E13" i="51"/>
  <c r="F13" i="51"/>
  <c r="G13" i="51"/>
  <c r="H13" i="51"/>
  <c r="I13" i="51"/>
  <c r="B15" i="51"/>
  <c r="B18" i="51"/>
  <c r="D18" i="51"/>
  <c r="D19" i="51" s="1"/>
  <c r="E18" i="51"/>
  <c r="E19" i="51" s="1"/>
  <c r="F18" i="51"/>
  <c r="F19" i="51" s="1"/>
  <c r="G18" i="51"/>
  <c r="G19" i="51" s="1"/>
  <c r="H18" i="51"/>
  <c r="H19" i="51" s="1"/>
  <c r="I18" i="51"/>
  <c r="B21" i="51"/>
  <c r="D21" i="51"/>
  <c r="E21" i="51"/>
  <c r="F21" i="51"/>
  <c r="G21" i="51"/>
  <c r="H21" i="51"/>
  <c r="H22" i="51" s="1"/>
  <c r="I21" i="51"/>
  <c r="I22" i="51" s="1"/>
  <c r="D22" i="51"/>
  <c r="E22" i="51"/>
  <c r="F22" i="51"/>
  <c r="G22" i="51"/>
  <c r="B26" i="51"/>
  <c r="D26" i="51"/>
  <c r="E26" i="51"/>
  <c r="F26" i="51"/>
  <c r="G26" i="51"/>
  <c r="H26" i="51"/>
  <c r="I26" i="51"/>
  <c r="B27" i="51"/>
  <c r="D27" i="51"/>
  <c r="D30" i="51" s="1"/>
  <c r="E27" i="51"/>
  <c r="E30" i="51" s="1"/>
  <c r="F27" i="51"/>
  <c r="F30" i="51" s="1"/>
  <c r="G27" i="51"/>
  <c r="G30" i="51" s="1"/>
  <c r="H27" i="51"/>
  <c r="H30" i="51" s="1"/>
  <c r="I27" i="51"/>
  <c r="I30" i="51" s="1"/>
  <c r="B28" i="51"/>
  <c r="D28" i="51"/>
  <c r="E28" i="51"/>
  <c r="F28" i="51"/>
  <c r="G28" i="51"/>
  <c r="H28" i="51"/>
  <c r="I28" i="51"/>
  <c r="B1" i="5"/>
  <c r="O1" i="5"/>
  <c r="Z1" i="5"/>
  <c r="E5" i="5"/>
  <c r="F5" i="5"/>
  <c r="G5" i="5"/>
  <c r="H5" i="5"/>
  <c r="I5" i="5"/>
  <c r="J5" i="5"/>
  <c r="K5" i="5"/>
  <c r="R5" i="5"/>
  <c r="F44" i="5"/>
  <c r="AB5" i="5"/>
  <c r="AB8" i="5" s="1"/>
  <c r="G44" i="5"/>
  <c r="G96" i="5" s="1"/>
  <c r="AC5" i="5"/>
  <c r="E44" i="5"/>
  <c r="F45" i="5"/>
  <c r="G45" i="5"/>
  <c r="U14" i="5"/>
  <c r="R6" i="5"/>
  <c r="T6" i="5"/>
  <c r="Z6" i="5"/>
  <c r="AE6" i="5"/>
  <c r="C7" i="5"/>
  <c r="E7" i="5"/>
  <c r="F7" i="5"/>
  <c r="G7" i="5"/>
  <c r="H7" i="5"/>
  <c r="I7" i="5"/>
  <c r="J7" i="5"/>
  <c r="R7" i="5"/>
  <c r="T7" i="5"/>
  <c r="F40" i="5"/>
  <c r="F94" i="5" s="1"/>
  <c r="F95" i="5" s="1"/>
  <c r="AB7" i="5"/>
  <c r="G40" i="5"/>
  <c r="G94" i="5" s="1"/>
  <c r="AC7" i="5"/>
  <c r="G8" i="5"/>
  <c r="J8" i="5"/>
  <c r="R8" i="5"/>
  <c r="T8" i="5"/>
  <c r="J9" i="5"/>
  <c r="F59" i="5"/>
  <c r="F61" i="5"/>
  <c r="F55" i="5"/>
  <c r="F56" i="5" s="1"/>
  <c r="F64" i="5"/>
  <c r="F101" i="5"/>
  <c r="AB10" i="5"/>
  <c r="G59" i="5"/>
  <c r="G61" i="5"/>
  <c r="G55" i="5"/>
  <c r="E59" i="5"/>
  <c r="E61" i="5"/>
  <c r="E67" i="5" s="1"/>
  <c r="E55" i="5"/>
  <c r="E64" i="5"/>
  <c r="E101" i="5" s="1"/>
  <c r="F102" i="5" s="1"/>
  <c r="F103" i="5" s="1"/>
  <c r="AB12" i="5" s="1"/>
  <c r="J12" i="5"/>
  <c r="F100" i="5"/>
  <c r="G100" i="5"/>
  <c r="J17" i="5"/>
  <c r="C17" i="5"/>
  <c r="G17" i="5"/>
  <c r="I17" i="5"/>
  <c r="F111" i="5"/>
  <c r="F112" i="5"/>
  <c r="F113" i="5"/>
  <c r="F115" i="5"/>
  <c r="F116" i="5"/>
  <c r="AB17" i="5"/>
  <c r="G111" i="5"/>
  <c r="G112" i="5"/>
  <c r="G113" i="5"/>
  <c r="G116" i="5" s="1"/>
  <c r="G115" i="5"/>
  <c r="F119" i="5"/>
  <c r="G119" i="5"/>
  <c r="E111" i="5"/>
  <c r="E113" i="5" s="1"/>
  <c r="E116" i="5" s="1"/>
  <c r="E112" i="5"/>
  <c r="E115" i="5"/>
  <c r="E119" i="5"/>
  <c r="E120" i="5" s="1"/>
  <c r="E124" i="5" s="1"/>
  <c r="AB26" i="5"/>
  <c r="AC26" i="5"/>
  <c r="AC27" i="5"/>
  <c r="F33" i="5"/>
  <c r="F28" i="5"/>
  <c r="G33" i="5"/>
  <c r="G28" i="5"/>
  <c r="F30" i="5"/>
  <c r="G30" i="5"/>
  <c r="F32" i="5"/>
  <c r="G32" i="5"/>
  <c r="AB37" i="5"/>
  <c r="AB38" i="5"/>
  <c r="E40" i="5"/>
  <c r="E94" i="5" s="1"/>
  <c r="AC46" i="5"/>
  <c r="E82" i="5"/>
  <c r="F82" i="5"/>
  <c r="G82" i="5"/>
  <c r="E89" i="5"/>
  <c r="E106" i="5" s="1"/>
  <c r="F89" i="5"/>
  <c r="F106" i="5" s="1"/>
  <c r="G89" i="5"/>
  <c r="G106" i="5" s="1"/>
  <c r="E93" i="5"/>
  <c r="F93" i="5"/>
  <c r="G93" i="5"/>
  <c r="E96" i="5"/>
  <c r="F96" i="5"/>
  <c r="E100" i="5"/>
  <c r="G6" i="50"/>
  <c r="H6" i="50"/>
  <c r="I6" i="50"/>
  <c r="J6" i="50"/>
  <c r="K6" i="50"/>
  <c r="G12" i="50" a="1"/>
  <c r="G12" i="50" s="1"/>
  <c r="AD6" i="5" s="1"/>
  <c r="H12" i="50" a="1"/>
  <c r="H12" i="50" s="1"/>
  <c r="I12" i="50" a="1"/>
  <c r="I12" i="50" s="1"/>
  <c r="AF6" i="5" s="1"/>
  <c r="J12" i="50" a="1"/>
  <c r="J12" i="50" s="1"/>
  <c r="AG6" i="5" s="1"/>
  <c r="K12" i="50" a="1"/>
  <c r="K12" i="50"/>
  <c r="AH6" i="5" s="1"/>
  <c r="C14" i="50"/>
  <c r="C29" i="50" s="1"/>
  <c r="C15" i="50"/>
  <c r="C30" i="50" s="1"/>
  <c r="C16" i="50"/>
  <c r="C38" i="50" s="1"/>
  <c r="G19" i="50" a="1"/>
  <c r="G19" i="50" s="1"/>
  <c r="U18" i="5" s="1"/>
  <c r="H19" i="50" a="1"/>
  <c r="H19" i="50" s="1"/>
  <c r="AE11" i="5" s="1"/>
  <c r="I19" i="50" a="1"/>
  <c r="I19" i="50" s="1"/>
  <c r="AF11" i="5" s="1"/>
  <c r="J19" i="50" a="1"/>
  <c r="J19" i="50" s="1"/>
  <c r="AG11" i="5" s="1"/>
  <c r="K19" i="50" a="1"/>
  <c r="K19" i="50" s="1"/>
  <c r="AH11" i="5" s="1"/>
  <c r="B21" i="50"/>
  <c r="C21" i="50"/>
  <c r="C22" i="50"/>
  <c r="C23" i="50"/>
  <c r="H27" i="50" a="1"/>
  <c r="H27" i="50" s="1"/>
  <c r="I27" i="50" a="1"/>
  <c r="I27" i="50" s="1"/>
  <c r="J27" i="50" a="1"/>
  <c r="J27" i="50" s="1"/>
  <c r="K27" i="50" a="1"/>
  <c r="K27" i="50" s="1"/>
  <c r="A30" i="50"/>
  <c r="H30" i="50"/>
  <c r="I30" i="50"/>
  <c r="J30" i="50"/>
  <c r="K30" i="50"/>
  <c r="A31" i="50"/>
  <c r="J31" i="50" s="1"/>
  <c r="H31" i="50"/>
  <c r="I31" i="50"/>
  <c r="K31" i="50"/>
  <c r="H34" i="50" a="1"/>
  <c r="H34" i="50" s="1"/>
  <c r="AE21" i="5" s="1"/>
  <c r="I34" i="50" a="1"/>
  <c r="I34" i="50" s="1"/>
  <c r="AF21" i="5" s="1"/>
  <c r="J34" i="50" a="1"/>
  <c r="J34" i="50" s="1"/>
  <c r="AG21" i="5" s="1"/>
  <c r="K34" i="50" a="1"/>
  <c r="K34" i="50" s="1"/>
  <c r="AH21" i="5" s="1"/>
  <c r="C36" i="50"/>
  <c r="A37" i="50"/>
  <c r="H37" i="50"/>
  <c r="A38" i="50"/>
  <c r="H38" i="50"/>
  <c r="I38" i="50"/>
  <c r="J38" i="50"/>
  <c r="K38" i="50"/>
  <c r="G41" i="50"/>
  <c r="H41" i="50"/>
  <c r="I41" i="50"/>
  <c r="J41" i="50"/>
  <c r="K41" i="50"/>
  <c r="K45" i="50"/>
  <c r="K47" i="50" s="1"/>
  <c r="K43" i="50" a="1"/>
  <c r="K43" i="50" s="1"/>
  <c r="Z6" i="51" s="1"/>
  <c r="C45" i="50"/>
  <c r="C46" i="50"/>
  <c r="A47" i="50"/>
  <c r="C47" i="50"/>
  <c r="F7" i="37"/>
  <c r="B1" i="2"/>
  <c r="B184" i="2" s="1"/>
  <c r="B99" i="2"/>
  <c r="C102" i="2"/>
  <c r="D102" i="2"/>
  <c r="E102" i="2"/>
  <c r="F102" i="2"/>
  <c r="G102" i="2"/>
  <c r="H102" i="2"/>
  <c r="I102" i="2"/>
  <c r="C187" i="2"/>
  <c r="D187" i="2"/>
  <c r="E187" i="2"/>
  <c r="F187" i="2"/>
  <c r="G187" i="2"/>
  <c r="H187" i="2"/>
  <c r="I187" i="2"/>
  <c r="D28" i="68" l="1"/>
  <c r="D26" i="68"/>
  <c r="D30" i="68" s="1"/>
  <c r="AD7" i="5"/>
  <c r="AE7" i="5" s="1"/>
  <c r="AF7" i="5" s="1"/>
  <c r="AG7" i="5" s="1"/>
  <c r="AH7" i="5" s="1"/>
  <c r="K46" i="50"/>
  <c r="H18" i="37"/>
  <c r="G46" i="50" s="1"/>
  <c r="E32" i="53"/>
  <c r="F30" i="49" s="1"/>
  <c r="E31" i="53"/>
  <c r="I31" i="53"/>
  <c r="I32" i="53"/>
  <c r="E105" i="5"/>
  <c r="U15" i="5"/>
  <c r="O22" i="53"/>
  <c r="E95" i="5"/>
  <c r="G64" i="5"/>
  <c r="G67" i="5"/>
  <c r="G68" i="5" s="1"/>
  <c r="AC8" i="5"/>
  <c r="AC9" i="5" s="1"/>
  <c r="G95" i="5"/>
  <c r="G120" i="5"/>
  <c r="U21" i="5"/>
  <c r="G29" i="50" s="1"/>
  <c r="G117" i="5"/>
  <c r="AC17" i="5"/>
  <c r="F117" i="5"/>
  <c r="AB13" i="5"/>
  <c r="AB15" i="5" s="1"/>
  <c r="O5" i="53"/>
  <c r="W15" i="53"/>
  <c r="X15" i="53"/>
  <c r="V15" i="53"/>
  <c r="I84" i="5"/>
  <c r="H8" i="5"/>
  <c r="I8" i="5"/>
  <c r="H12" i="5"/>
  <c r="H17" i="5"/>
  <c r="I11" i="51"/>
  <c r="I16" i="51"/>
  <c r="I18" i="37" s="1"/>
  <c r="H46" i="50" s="1"/>
  <c r="AD11" i="5"/>
  <c r="F65" i="5"/>
  <c r="AD5" i="5"/>
  <c r="F120" i="5"/>
  <c r="F8" i="5"/>
  <c r="F17" i="5"/>
  <c r="I12" i="5"/>
  <c r="H13" i="37"/>
  <c r="G45" i="50" s="1"/>
  <c r="I13" i="37"/>
  <c r="H45" i="50" s="1"/>
  <c r="J13" i="37"/>
  <c r="I45" i="50" s="1"/>
  <c r="T6" i="51"/>
  <c r="C31" i="50"/>
  <c r="F62" i="5"/>
  <c r="F67" i="5"/>
  <c r="F68" i="5" s="1"/>
  <c r="E17" i="5"/>
  <c r="J14" i="5" s="1"/>
  <c r="I10" i="5"/>
  <c r="I9" i="51"/>
  <c r="I7" i="51"/>
  <c r="U28" i="53"/>
  <c r="U30" i="53" s="1"/>
  <c r="H31" i="53"/>
  <c r="U29" i="53" s="1"/>
  <c r="I18" i="49"/>
  <c r="C37" i="50"/>
  <c r="G62" i="5"/>
  <c r="G32" i="53"/>
  <c r="H30" i="49" s="1"/>
  <c r="G31" i="53"/>
  <c r="T29" i="53" s="1"/>
  <c r="T28" i="53"/>
  <c r="H18" i="49"/>
  <c r="I37" i="50"/>
  <c r="J37" i="50"/>
  <c r="K37" i="50"/>
  <c r="G56" i="5"/>
  <c r="I19" i="51"/>
  <c r="F31" i="53"/>
  <c r="F32" i="53"/>
  <c r="G30" i="49" s="1"/>
  <c r="T14" i="53"/>
  <c r="G12" i="53"/>
  <c r="T15" i="53" s="1"/>
  <c r="G18" i="49"/>
  <c r="K7" i="5"/>
  <c r="AD28" i="5"/>
  <c r="J10" i="5"/>
  <c r="I19" i="53"/>
  <c r="Z15" i="53"/>
  <c r="O23" i="53" s="1"/>
  <c r="F18" i="49"/>
  <c r="H16" i="51"/>
  <c r="U6" i="51" s="1"/>
  <c r="G11" i="51"/>
  <c r="H43" i="50" l="1" a="1"/>
  <c r="H43" i="50" s="1"/>
  <c r="W6" i="51" s="1"/>
  <c r="H47" i="50"/>
  <c r="K9" i="5"/>
  <c r="K17" i="5"/>
  <c r="K14" i="5" s="1"/>
  <c r="K8" i="5"/>
  <c r="K10" i="5"/>
  <c r="K12" i="5"/>
  <c r="I43" i="50" a="1"/>
  <c r="I43" i="50" s="1"/>
  <c r="X6" i="51" s="1"/>
  <c r="I47" i="50"/>
  <c r="G101" i="5"/>
  <c r="G65" i="5"/>
  <c r="U17" i="5"/>
  <c r="G43" i="50" a="1"/>
  <c r="G43" i="50" s="1"/>
  <c r="V6" i="51" s="1"/>
  <c r="G47" i="50"/>
  <c r="W9" i="37"/>
  <c r="W22" i="53" s="1"/>
  <c r="Y9" i="37"/>
  <c r="Y22" i="53" s="1"/>
  <c r="V9" i="37"/>
  <c r="V22" i="53" s="1"/>
  <c r="X9" i="37"/>
  <c r="X22" i="53" s="1"/>
  <c r="V5" i="53"/>
  <c r="W5" i="53"/>
  <c r="X5" i="53"/>
  <c r="Y5" i="53"/>
  <c r="Z5" i="53"/>
  <c r="O30" i="53"/>
  <c r="J15" i="5"/>
  <c r="AB46" i="5"/>
  <c r="AC18" i="5"/>
  <c r="G30" i="50"/>
  <c r="G31" i="50"/>
  <c r="G27" i="50" a="1"/>
  <c r="G27" i="50" s="1"/>
  <c r="AD18" i="5" s="1"/>
  <c r="AE18" i="5" s="1"/>
  <c r="AF18" i="5" s="1"/>
  <c r="AG18" i="5" s="1"/>
  <c r="AH18" i="5" s="1"/>
  <c r="AB20" i="5"/>
  <c r="F121" i="5"/>
  <c r="F124" i="5"/>
  <c r="F105" i="5" s="1"/>
  <c r="O29" i="53"/>
  <c r="AB9" i="37" s="1"/>
  <c r="V29" i="53" s="1"/>
  <c r="AD8" i="5"/>
  <c r="AD9" i="5" s="1"/>
  <c r="AE5" i="5"/>
  <c r="G124" i="5"/>
  <c r="G105" i="5" s="1"/>
  <c r="G121" i="5"/>
  <c r="AC20" i="5"/>
  <c r="U23" i="5"/>
  <c r="G36" i="50" s="1"/>
  <c r="K18" i="37"/>
  <c r="J46" i="50" s="1"/>
  <c r="K13" i="37"/>
  <c r="J45" i="50" s="1"/>
  <c r="J18" i="37"/>
  <c r="I46" i="50" s="1"/>
  <c r="O8" i="51"/>
  <c r="O7" i="51"/>
  <c r="J43" i="50" l="1" a="1"/>
  <c r="J43" i="50" s="1"/>
  <c r="Y6" i="51" s="1"/>
  <c r="J47" i="50"/>
  <c r="G37" i="50"/>
  <c r="G34" i="50" a="1"/>
  <c r="G34" i="50" s="1"/>
  <c r="AD21" i="5" s="1"/>
  <c r="AD20" i="5" s="1"/>
  <c r="G38" i="50"/>
  <c r="AF5" i="5"/>
  <c r="AE8" i="5"/>
  <c r="AE9" i="5" s="1"/>
  <c r="K15" i="5"/>
  <c r="AB23" i="5"/>
  <c r="AD17" i="5"/>
  <c r="AE17" i="5" s="1"/>
  <c r="AF17" i="5" s="1"/>
  <c r="AG17" i="5" s="1"/>
  <c r="AH17" i="5" s="1"/>
  <c r="AC10" i="5"/>
  <c r="G102" i="5"/>
  <c r="G103" i="5" s="1"/>
  <c r="AC12" i="5" s="1"/>
  <c r="AD12" i="5" s="1"/>
  <c r="AC21" i="5"/>
  <c r="AC23" i="5"/>
  <c r="AE12" i="5" l="1"/>
  <c r="AC13" i="5"/>
  <c r="AD10" i="5"/>
  <c r="AE10" i="5" s="1"/>
  <c r="AF10" i="5" s="1"/>
  <c r="AG10" i="5" s="1"/>
  <c r="AH10" i="5" s="1"/>
  <c r="AD23" i="5"/>
  <c r="AE20" i="5"/>
  <c r="AG5" i="5"/>
  <c r="AF8" i="5"/>
  <c r="AF9" i="5" s="1"/>
  <c r="AH5" i="5" l="1"/>
  <c r="AH8" i="5" s="1"/>
  <c r="AG8" i="5"/>
  <c r="AG9" i="5" s="1"/>
  <c r="AF20" i="5"/>
  <c r="AE23" i="5"/>
  <c r="AC14" i="5"/>
  <c r="AC15" i="5"/>
  <c r="AD13" i="5"/>
  <c r="AF12" i="5"/>
  <c r="AE13" i="5"/>
  <c r="J36" i="49" l="1"/>
  <c r="L36" i="49"/>
  <c r="M36" i="49"/>
  <c r="N36" i="49"/>
  <c r="K36" i="49"/>
  <c r="AG12" i="5"/>
  <c r="AF13" i="5"/>
  <c r="AD15" i="5"/>
  <c r="AD26" i="5" s="1"/>
  <c r="AD14" i="5"/>
  <c r="AF23" i="5"/>
  <c r="AG20" i="5"/>
  <c r="AE14" i="5"/>
  <c r="AE15" i="5"/>
  <c r="AE26" i="5" s="1"/>
  <c r="AH9" i="5"/>
  <c r="W5" i="51" l="1"/>
  <c r="W7" i="51" s="1"/>
  <c r="AE27" i="5"/>
  <c r="K15" i="49"/>
  <c r="W13" i="53"/>
  <c r="AH20" i="5"/>
  <c r="AH23" i="5" s="1"/>
  <c r="AG23" i="5"/>
  <c r="V5" i="51"/>
  <c r="V7" i="51" s="1"/>
  <c r="V13" i="53"/>
  <c r="J15" i="49"/>
  <c r="J16" i="49" s="1"/>
  <c r="AD27" i="5"/>
  <c r="AF15" i="5"/>
  <c r="AF26" i="5" s="1"/>
  <c r="AF14" i="5"/>
  <c r="AH12" i="5"/>
  <c r="AH13" i="5" s="1"/>
  <c r="AG13" i="5"/>
  <c r="X5" i="51" l="1"/>
  <c r="X7" i="51" s="1"/>
  <c r="AF27" i="5"/>
  <c r="L15" i="49"/>
  <c r="L16" i="49" s="1"/>
  <c r="X13" i="53"/>
  <c r="AG15" i="5"/>
  <c r="AG14" i="5"/>
  <c r="AH15" i="5"/>
  <c r="AH14" i="5"/>
  <c r="V20" i="53"/>
  <c r="V14" i="53"/>
  <c r="J26" i="49" s="1"/>
  <c r="J17" i="49"/>
  <c r="V4" i="53"/>
  <c r="V6" i="53" s="1"/>
  <c r="J19" i="49" s="1"/>
  <c r="J20" i="49" s="1"/>
  <c r="AG26" i="5"/>
  <c r="AH26" i="5"/>
  <c r="W20" i="53"/>
  <c r="W14" i="53"/>
  <c r="K26" i="49" s="1"/>
  <c r="K16" i="49"/>
  <c r="W4" i="53"/>
  <c r="W6" i="53" s="1"/>
  <c r="K19" i="49" s="1"/>
  <c r="K17" i="49"/>
  <c r="W21" i="53" l="1"/>
  <c r="K28" i="49" s="1"/>
  <c r="W27" i="53"/>
  <c r="W28" i="53" s="1"/>
  <c r="Z13" i="53"/>
  <c r="N15" i="49"/>
  <c r="Z5" i="51"/>
  <c r="Z7" i="51" s="1"/>
  <c r="AH27" i="5"/>
  <c r="M15" i="49"/>
  <c r="M16" i="49" s="1"/>
  <c r="Y5" i="51"/>
  <c r="Y7" i="51" s="1"/>
  <c r="AG27" i="5"/>
  <c r="Y13" i="53"/>
  <c r="J18" i="49"/>
  <c r="J22" i="49"/>
  <c r="V27" i="53"/>
  <c r="V28" i="53" s="1"/>
  <c r="V30" i="53" s="1"/>
  <c r="J30" i="49" s="1"/>
  <c r="V21" i="53"/>
  <c r="J28" i="49" s="1"/>
  <c r="X20" i="53"/>
  <c r="X14" i="53"/>
  <c r="L26" i="49" s="1"/>
  <c r="K18" i="49"/>
  <c r="K22" i="49"/>
  <c r="K20" i="49"/>
  <c r="L17" i="49"/>
  <c r="X4" i="53"/>
  <c r="X6" i="53" s="1"/>
  <c r="L19" i="49" s="1"/>
  <c r="L20" i="49" l="1"/>
  <c r="X21" i="53"/>
  <c r="L28" i="49" s="1"/>
  <c r="X27" i="53"/>
  <c r="X28" i="53" s="1"/>
  <c r="X30" i="53" s="1"/>
  <c r="L30" i="49" s="1"/>
  <c r="J35" i="49"/>
  <c r="J37" i="49" s="1"/>
  <c r="Y20" i="53"/>
  <c r="Y14" i="53"/>
  <c r="M26" i="49" s="1"/>
  <c r="M17" i="49"/>
  <c r="Y4" i="53"/>
  <c r="Y6" i="53" s="1"/>
  <c r="M19" i="49" s="1"/>
  <c r="M20" i="49" s="1"/>
  <c r="N17" i="49"/>
  <c r="Z4" i="53"/>
  <c r="Z6" i="53" s="1"/>
  <c r="N19" i="49" s="1"/>
  <c r="N20" i="49" s="1"/>
  <c r="L22" i="49"/>
  <c r="L18" i="49"/>
  <c r="N16" i="49"/>
  <c r="Z20" i="53"/>
  <c r="Z14" i="53"/>
  <c r="N26" i="49" s="1"/>
  <c r="W30" i="53"/>
  <c r="K30" i="49" s="1"/>
  <c r="K35" i="49" s="1"/>
  <c r="K37" i="49" s="1"/>
  <c r="L35" i="49" l="1"/>
  <c r="L37" i="49" s="1"/>
  <c r="Z21" i="53"/>
  <c r="N28" i="49" s="1"/>
  <c r="Z27" i="53"/>
  <c r="Z28" i="53" s="1"/>
  <c r="N22" i="49"/>
  <c r="N18" i="49"/>
  <c r="M22" i="49"/>
  <c r="M18" i="49"/>
  <c r="Y27" i="53"/>
  <c r="Y28" i="53" s="1"/>
  <c r="Y30" i="53" s="1"/>
  <c r="M30" i="49" s="1"/>
  <c r="Y21" i="53"/>
  <c r="M28" i="49" s="1"/>
  <c r="M35" i="49" l="1"/>
  <c r="M37" i="49" s="1"/>
  <c r="Z30" i="53"/>
  <c r="N30" i="49" s="1"/>
  <c r="N35" i="49" s="1"/>
  <c r="N39" i="49" l="1"/>
  <c r="N37" i="49"/>
  <c r="E42" i="49" s="1"/>
  <c r="E39" i="49" l="1"/>
  <c r="N40" i="49"/>
  <c r="E40" i="49" s="1"/>
  <c r="E43" i="49" s="1"/>
  <c r="E49" i="49" s="1"/>
  <c r="E53" i="49" s="1"/>
  <c r="G4" i="4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louis fletcher</author>
  </authors>
  <commentList>
    <comment ref="AG5" authorId="0" shapeId="0" xr:uid="{AF92CEB2-B8A0-4BF5-8A39-F3D2E3D64118}">
      <text>
        <r>
          <rPr>
            <b/>
            <sz val="9"/>
            <color indexed="81"/>
            <rFont val="Tahoma"/>
            <family val="2"/>
          </rPr>
          <t>louis fletcher:</t>
        </r>
        <r>
          <rPr>
            <sz val="9"/>
            <color indexed="81"/>
            <rFont val="Tahoma"/>
            <family val="2"/>
          </rPr>
          <t xml:space="preserve">
from CapitalIQ</t>
        </r>
      </text>
    </comment>
    <comment ref="E7" authorId="0" shapeId="0" xr:uid="{9334009C-B678-4577-AAED-B85A65DEF043}">
      <text>
        <r>
          <rPr>
            <b/>
            <sz val="9"/>
            <color indexed="81"/>
            <rFont val="Tahoma"/>
            <family val="2"/>
          </rPr>
          <t>louis fletcher:</t>
        </r>
        <r>
          <rPr>
            <sz val="9"/>
            <color indexed="81"/>
            <rFont val="Tahoma"/>
            <family val="2"/>
          </rPr>
          <t xml:space="preserve">
Corporate Guidance - "net sales in the range of $2.170 billion to $2.200 billion"</t>
        </r>
      </text>
    </comment>
    <comment ref="F7" authorId="0" shapeId="0" xr:uid="{19C26AD6-8295-4B22-9DD5-DFF0E357659E}">
      <text>
        <r>
          <rPr>
            <b/>
            <sz val="9"/>
            <color indexed="81"/>
            <rFont val="Tahoma"/>
            <family val="2"/>
          </rPr>
          <t>louis fletcher:</t>
        </r>
        <r>
          <rPr>
            <sz val="9"/>
            <color indexed="81"/>
            <rFont val="Tahoma"/>
            <family val="2"/>
          </rPr>
          <t xml:space="preserve">
This alligns with guidance for the full year "net saes in the range of $6.450 billion to $6.480 billion"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louis fletcher</author>
  </authors>
  <commentList>
    <comment ref="C14" authorId="0" shapeId="0" xr:uid="{38045C17-2511-43FF-B6BD-915F7D185A50}">
      <text>
        <r>
          <rPr>
            <b/>
            <sz val="9"/>
            <color indexed="81"/>
            <rFont val="Tahoma"/>
            <family val="2"/>
          </rPr>
          <t>louis fletcher:</t>
        </r>
        <r>
          <rPr>
            <sz val="9"/>
            <color indexed="81"/>
            <rFont val="Tahoma"/>
            <family val="2"/>
          </rPr>
          <t xml:space="preserve">
convergence to 2%</t>
        </r>
      </text>
    </comment>
    <comment ref="C15" authorId="0" shapeId="0" xr:uid="{58FC3F57-78A0-40F7-8097-65233BFB34FA}">
      <text>
        <r>
          <rPr>
            <b/>
            <sz val="9"/>
            <color indexed="81"/>
            <rFont val="Tahoma"/>
            <family val="2"/>
          </rPr>
          <t>louis fletcher:</t>
        </r>
        <r>
          <rPr>
            <sz val="9"/>
            <color indexed="81"/>
            <rFont val="Tahoma"/>
            <family val="2"/>
          </rPr>
          <t xml:space="preserve">
move to high-priced products --&gt; on success of PINK and hybrid bedwear (bigger baskets)</t>
        </r>
      </text>
    </comment>
    <comment ref="C16" authorId="0" shapeId="0" xr:uid="{9F8F7049-548C-47C1-B936-F5AFC0B84FE1}">
      <text>
        <r>
          <rPr>
            <b/>
            <sz val="9"/>
            <color indexed="81"/>
            <rFont val="Tahoma"/>
            <family val="2"/>
          </rPr>
          <t>louis fletcher:</t>
        </r>
        <r>
          <rPr>
            <sz val="9"/>
            <color indexed="81"/>
            <rFont val="Tahoma"/>
            <family val="2"/>
          </rPr>
          <t xml:space="preserve">
pricing increases below inflation</t>
        </r>
      </text>
    </comment>
    <comment ref="C21" authorId="0" shapeId="0" xr:uid="{3A096862-807D-4F51-8A84-69C7C8098722}">
      <text>
        <r>
          <rPr>
            <b/>
            <sz val="9"/>
            <color indexed="81"/>
            <rFont val="Tahoma"/>
            <family val="2"/>
          </rPr>
          <t>louis fletcher:</t>
        </r>
        <r>
          <rPr>
            <sz val="9"/>
            <color indexed="81"/>
            <rFont val="Tahoma"/>
            <family val="2"/>
          </rPr>
          <t xml:space="preserve">
slightly lower than NA: FX impact and lower pricing power</t>
        </r>
      </text>
    </comment>
    <comment ref="C29" authorId="0" shapeId="0" xr:uid="{56501D21-913E-46C0-902F-370215763571}">
      <text>
        <r>
          <rPr>
            <b/>
            <sz val="9"/>
            <color indexed="81"/>
            <rFont val="Tahoma"/>
            <family val="2"/>
          </rPr>
          <t>louis fletcher:</t>
        </r>
        <r>
          <rPr>
            <sz val="9"/>
            <color indexed="81"/>
            <rFont val="Tahoma"/>
            <family val="2"/>
          </rPr>
          <t xml:space="preserve">
adjusted 2-yr CAGR tapered</t>
        </r>
      </text>
    </comment>
    <comment ref="C36" authorId="0" shapeId="0" xr:uid="{59A561B5-6B7D-4494-B58B-5571CB66C71A}">
      <text>
        <r>
          <rPr>
            <b/>
            <sz val="9"/>
            <color indexed="81"/>
            <rFont val="Tahoma"/>
            <family val="2"/>
          </rPr>
          <t>louis fletcher:</t>
        </r>
        <r>
          <rPr>
            <sz val="9"/>
            <color indexed="81"/>
            <rFont val="Tahoma"/>
            <family val="2"/>
          </rPr>
          <t xml:space="preserve">
adjusted 2-yr CAGR tapered up to 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louis fletcher</author>
  </authors>
  <commentList>
    <comment ref="M1" authorId="0" shapeId="0" xr:uid="{5A75A500-732F-45DD-BCD4-A4160B793164}">
      <text>
        <r>
          <rPr>
            <b/>
            <sz val="9"/>
            <color indexed="81"/>
            <rFont val="Tahoma"/>
            <family val="2"/>
          </rPr>
          <t>louis fletcher:</t>
        </r>
        <r>
          <rPr>
            <sz val="9"/>
            <color indexed="81"/>
            <rFont val="Tahoma"/>
            <family val="2"/>
          </rPr>
          <t xml:space="preserve">
Plan:
separate revenue into DTC and wholesale segments.
DTC break down into physical and online</t>
        </r>
      </text>
    </comment>
    <comment ref="Z5" authorId="0" shapeId="0" xr:uid="{A8A90AF8-5B04-4EB7-81A1-F518527E53B0}">
      <text>
        <r>
          <rPr>
            <b/>
            <sz val="9"/>
            <color indexed="81"/>
            <rFont val="Tahoma"/>
            <family val="2"/>
          </rPr>
          <t>louis fletcher:</t>
        </r>
        <r>
          <rPr>
            <sz val="9"/>
            <color indexed="81"/>
            <rFont val="Tahoma"/>
            <family val="2"/>
          </rPr>
          <t xml:space="preserve">
No. of stores in NA</t>
        </r>
      </text>
    </comment>
    <comment ref="Z7" authorId="0" shapeId="0" xr:uid="{D61BE564-488B-4253-9AAF-A18EABC81905}">
      <text>
        <r>
          <rPr>
            <b/>
            <sz val="9"/>
            <color indexed="81"/>
            <rFont val="Tahoma"/>
            <family val="2"/>
          </rPr>
          <t>louis fletcher:</t>
        </r>
        <r>
          <rPr>
            <sz val="9"/>
            <color indexed="81"/>
            <rFont val="Tahoma"/>
            <family val="2"/>
          </rPr>
          <t xml:space="preserve">
(a) Sales per average selling square foot and sales per average store, which are indicators of store productivity, are
calculated based on store sales for the period divided by the average, including the beginning and end of period, of
total square footage and store count, respectively.
(b) Excludes the impact of the cumulative adjustment recognized as a result of the change in accounting estimate related
to outstanding gift cards in the fourth quarter of 2024. For additional information, see Note 3, “Revenue Recognition”
to the Consolidated Financial Statements included in Item 8. Financial Statements and Supplementary Data.</t>
        </r>
      </text>
    </comment>
    <comment ref="F8" authorId="0" shapeId="0" xr:uid="{B4EA261A-019E-4371-B250-2FA88A55F4E8}">
      <text>
        <r>
          <rPr>
            <b/>
            <sz val="9"/>
            <color indexed="81"/>
            <rFont val="Tahoma"/>
            <family val="2"/>
          </rPr>
          <t>louis fletcher:</t>
        </r>
        <r>
          <rPr>
            <sz val="9"/>
            <color indexed="81"/>
            <rFont val="Tahoma"/>
            <family val="2"/>
          </rPr>
          <t xml:space="preserve">
COVID-shock</t>
        </r>
      </text>
    </comment>
    <comment ref="Z13" authorId="0" shapeId="0" xr:uid="{501D96B9-6AF0-4FD0-961E-5C6138062B3F}">
      <text>
        <r>
          <rPr>
            <b/>
            <sz val="9"/>
            <color indexed="81"/>
            <rFont val="Tahoma"/>
            <family val="2"/>
          </rPr>
          <t>louis fletcher:</t>
        </r>
        <r>
          <rPr>
            <sz val="9"/>
            <color indexed="81"/>
            <rFont val="Tahoma"/>
            <family val="2"/>
          </rPr>
          <t xml:space="preserve">
International Revenue segment from 10-k</t>
        </r>
      </text>
    </comment>
    <comment ref="C14" authorId="0" shapeId="0" xr:uid="{BD94FFCF-553B-490C-AA86-2C8F9075F420}">
      <text>
        <r>
          <rPr>
            <b/>
            <sz val="9"/>
            <color indexed="81"/>
            <rFont val="Tahoma"/>
            <family val="2"/>
          </rPr>
          <t>louis fletcher:</t>
        </r>
        <r>
          <rPr>
            <sz val="9"/>
            <color indexed="81"/>
            <rFont val="Tahoma"/>
            <family val="2"/>
          </rPr>
          <t xml:space="preserve">
with COVID years revenue flattened</t>
        </r>
      </text>
    </comment>
    <comment ref="C15" authorId="0" shapeId="0" xr:uid="{D217251A-6EF3-40E2-A048-C08417BEDA04}">
      <text>
        <r>
          <rPr>
            <b/>
            <sz val="9"/>
            <color indexed="81"/>
            <rFont val="Tahoma"/>
            <family val="2"/>
          </rPr>
          <t>louis fletcher:</t>
        </r>
        <r>
          <rPr>
            <sz val="9"/>
            <color indexed="81"/>
            <rFont val="Tahoma"/>
            <family val="2"/>
          </rPr>
          <t xml:space="preserve">
= (5-year CAGR + Latest YoY)/2</t>
        </r>
      </text>
    </comment>
    <comment ref="J18" authorId="0" shapeId="0" xr:uid="{287E390F-198E-4C5F-A361-B5E7D2E26098}">
      <text>
        <r>
          <rPr>
            <b/>
            <sz val="9"/>
            <color indexed="81"/>
            <rFont val="Tahoma"/>
            <family val="2"/>
          </rPr>
          <t>louis fletcher:</t>
        </r>
        <r>
          <rPr>
            <sz val="9"/>
            <color indexed="81"/>
            <rFont val="Tahoma"/>
            <family val="2"/>
          </rPr>
          <t xml:space="preserve">
“Over the past five years, revenue has flatlined, with growth driven primarily by ___, while ___ has acted as a headwind.”</t>
        </r>
      </text>
    </comment>
    <comment ref="S23" authorId="0" shapeId="0" xr:uid="{516AF983-32E7-4363-A822-D66F0D69AA84}">
      <text>
        <r>
          <rPr>
            <b/>
            <sz val="9"/>
            <color indexed="81"/>
            <rFont val="Tahoma"/>
            <family val="2"/>
          </rPr>
          <t>louis fletcher:</t>
        </r>
        <r>
          <rPr>
            <sz val="9"/>
            <color indexed="81"/>
            <rFont val="Tahoma"/>
            <family val="2"/>
          </rPr>
          <t xml:space="preserve">
using 202A growth as YoY to avoid 2024A exessive decline (already reflected in CAGR)</t>
        </r>
      </text>
    </comment>
    <comment ref="E25" authorId="0" shapeId="0" xr:uid="{E2F20298-BD81-47EA-B335-74FB218690C3}">
      <text>
        <r>
          <rPr>
            <b/>
            <sz val="9"/>
            <color indexed="81"/>
            <rFont val="Tahoma"/>
            <family val="2"/>
          </rPr>
          <t>louis fletcher:</t>
        </r>
        <r>
          <rPr>
            <sz val="9"/>
            <color indexed="81"/>
            <rFont val="Tahoma"/>
            <family val="2"/>
          </rPr>
          <t xml:space="preserve">
as of Jan 28, 2023</t>
        </r>
      </text>
    </comment>
    <comment ref="F25" authorId="0" shapeId="0" xr:uid="{C44D13A4-7AC5-4402-843E-0AA03EE2700E}">
      <text>
        <r>
          <rPr>
            <b/>
            <sz val="9"/>
            <color indexed="81"/>
            <rFont val="Tahoma"/>
            <family val="2"/>
          </rPr>
          <t>louis fletcher:</t>
        </r>
        <r>
          <rPr>
            <sz val="9"/>
            <color indexed="81"/>
            <rFont val="Tahoma"/>
            <family val="2"/>
          </rPr>
          <t xml:space="preserve">
as of Feb 2024 disclosure</t>
        </r>
      </text>
    </comment>
    <comment ref="G25" authorId="0" shapeId="0" xr:uid="{66270FC6-B3E8-47D9-AB56-C09FF3D60F7A}">
      <text>
        <r>
          <rPr>
            <b/>
            <sz val="9"/>
            <color indexed="81"/>
            <rFont val="Tahoma"/>
            <family val="2"/>
          </rPr>
          <t>louis fletcher:</t>
        </r>
        <r>
          <rPr>
            <sz val="9"/>
            <color indexed="81"/>
            <rFont val="Tahoma"/>
            <family val="2"/>
          </rPr>
          <t xml:space="preserve">
As of Feb 2025 disclosure</t>
        </r>
      </text>
    </comment>
    <comment ref="B27" authorId="0" shapeId="0" xr:uid="{1ACDE8DD-9CE2-4C63-9D79-43C030C11FAE}">
      <text>
        <r>
          <rPr>
            <b/>
            <sz val="9"/>
            <color indexed="81"/>
            <rFont val="Tahoma"/>
            <family val="2"/>
          </rPr>
          <t>louis fletcher:</t>
        </r>
        <r>
          <rPr>
            <sz val="9"/>
            <color indexed="81"/>
            <rFont val="Tahoma"/>
            <family val="2"/>
          </rPr>
          <t xml:space="preserve">
Taken from 10-k p. 34</t>
        </r>
      </text>
    </comment>
    <comment ref="B29" authorId="0" shapeId="0" xr:uid="{24B0DED1-CEE1-425A-9061-EEDB2B595557}">
      <text>
        <r>
          <rPr>
            <b/>
            <sz val="9"/>
            <color indexed="81"/>
            <rFont val="Tahoma"/>
            <family val="2"/>
          </rPr>
          <t>louis fletcher:</t>
        </r>
        <r>
          <rPr>
            <sz val="9"/>
            <color indexed="81"/>
            <rFont val="Tahoma"/>
            <family val="2"/>
          </rPr>
          <t xml:space="preserve">
Taken from 10-k p. 34</t>
        </r>
      </text>
    </comment>
    <comment ref="B31" authorId="0" shapeId="0" xr:uid="{79A5EA04-FBF3-4E76-BEEE-73FF43DF896E}">
      <text>
        <r>
          <rPr>
            <b/>
            <sz val="9"/>
            <color indexed="81"/>
            <rFont val="Tahoma"/>
            <family val="2"/>
          </rPr>
          <t>louis fletcher:</t>
        </r>
        <r>
          <rPr>
            <sz val="9"/>
            <color indexed="81"/>
            <rFont val="Tahoma"/>
            <family val="2"/>
          </rPr>
          <t xml:space="preserve">
Taken from 10-k p. 34</t>
        </r>
      </text>
    </comment>
    <comment ref="B39" authorId="0" shapeId="0" xr:uid="{264FB913-2FFA-439E-A295-AA5181FAF8E1}">
      <text>
        <r>
          <rPr>
            <b/>
            <sz val="9"/>
            <color indexed="81"/>
            <rFont val="Tahoma"/>
            <family val="2"/>
          </rPr>
          <t>louis fletcher:</t>
        </r>
        <r>
          <rPr>
            <sz val="9"/>
            <color indexed="81"/>
            <rFont val="Tahoma"/>
            <family val="2"/>
          </rPr>
          <t xml:space="preserve">
Taken from 10-k p. 33 (Company-Operated Store Data)</t>
        </r>
      </text>
    </comment>
    <comment ref="B41" authorId="0" shapeId="0" xr:uid="{1840D68A-FA97-4E43-8EFE-C8E0ADAB87B5}">
      <text>
        <r>
          <rPr>
            <b/>
            <sz val="9"/>
            <color indexed="81"/>
            <rFont val="Tahoma"/>
            <family val="2"/>
          </rPr>
          <t>louis fletcher:</t>
        </r>
        <r>
          <rPr>
            <sz val="9"/>
            <color indexed="81"/>
            <rFont val="Tahoma"/>
            <family val="2"/>
          </rPr>
          <t xml:space="preserve">
10-k p. 2</t>
        </r>
      </text>
    </comment>
    <comment ref="C55" authorId="0" shapeId="0" xr:uid="{73FAA04B-9F5E-4C2D-9225-E388B4E59853}">
      <text>
        <r>
          <rPr>
            <b/>
            <sz val="9"/>
            <color indexed="81"/>
            <rFont val="Tahoma"/>
            <family val="2"/>
          </rPr>
          <t>louis fletcher:</t>
        </r>
        <r>
          <rPr>
            <sz val="9"/>
            <color indexed="81"/>
            <rFont val="Tahoma"/>
            <family val="2"/>
          </rPr>
          <t xml:space="preserve">
10-k Part 1: p. 3</t>
        </r>
      </text>
    </comment>
    <comment ref="B78" authorId="0" shapeId="0" xr:uid="{B557D444-502B-4869-988A-E608019389A8}">
      <text>
        <r>
          <rPr>
            <b/>
            <sz val="9"/>
            <color indexed="81"/>
            <rFont val="Tahoma"/>
            <family val="2"/>
          </rPr>
          <t>louis fletcher:</t>
        </r>
        <r>
          <rPr>
            <sz val="9"/>
            <color indexed="81"/>
            <rFont val="Tahoma"/>
            <family val="2"/>
          </rPr>
          <t xml:space="preserve">
10-k p. 77</t>
        </r>
      </text>
    </comment>
    <comment ref="B84" authorId="0" shapeId="0" xr:uid="{2BD48446-A810-481C-9E1D-EF8EA9CD6A47}">
      <text>
        <r>
          <rPr>
            <b/>
            <sz val="9"/>
            <color indexed="81"/>
            <rFont val="Tahoma"/>
            <family val="2"/>
          </rPr>
          <t>louis fletcher:</t>
        </r>
        <r>
          <rPr>
            <sz val="9"/>
            <color indexed="81"/>
            <rFont val="Tahoma"/>
            <family val="2"/>
          </rPr>
          <t xml:space="preserve">
10-k p.34</t>
        </r>
      </text>
    </comment>
    <comment ref="B88" authorId="0" shapeId="0" xr:uid="{C39B0BA6-2CA3-4897-9682-C30CC69F315E}">
      <text>
        <r>
          <rPr>
            <b/>
            <sz val="9"/>
            <color indexed="81"/>
            <rFont val="Tahoma"/>
            <family val="2"/>
          </rPr>
          <t>louis fletcher:</t>
        </r>
        <r>
          <rPr>
            <sz val="9"/>
            <color indexed="81"/>
            <rFont val="Tahoma"/>
            <family val="2"/>
          </rPr>
          <t xml:space="preserve">
worked out: does not include Direct sales, only in-store</t>
        </r>
      </text>
    </comment>
    <comment ref="B95" authorId="0" shapeId="0" xr:uid="{C105AD78-21F7-4DF9-B566-68C37CB31519}">
      <text>
        <r>
          <rPr>
            <b/>
            <sz val="9"/>
            <color indexed="81"/>
            <rFont val="Tahoma"/>
            <family val="2"/>
          </rPr>
          <t>louis fletcher:</t>
        </r>
        <r>
          <rPr>
            <sz val="9"/>
            <color indexed="81"/>
            <rFont val="Tahoma"/>
            <family val="2"/>
          </rPr>
          <t xml:space="preserve">
different from disclosed no. of stores at year end</t>
        </r>
      </text>
    </comment>
    <comment ref="E115" authorId="0" shapeId="0" xr:uid="{7BAF4237-A9F8-4243-94E2-2D7E7D77E0F5}">
      <text>
        <r>
          <rPr>
            <b/>
            <sz val="9"/>
            <color indexed="81"/>
            <rFont val="Tahoma"/>
            <family val="2"/>
          </rPr>
          <t>louis fletcher:</t>
        </r>
        <r>
          <rPr>
            <sz val="9"/>
            <color indexed="81"/>
            <rFont val="Tahoma"/>
            <family val="2"/>
          </rPr>
          <t xml:space="preserve">
find in 2023 10-k</t>
        </r>
      </text>
    </comment>
    <comment ref="B116" authorId="0" shapeId="0" xr:uid="{AB38FE6B-2498-4BB3-83D0-9F0B43513BF9}">
      <text>
        <r>
          <rPr>
            <b/>
            <sz val="9"/>
            <color indexed="81"/>
            <rFont val="Tahoma"/>
            <family val="2"/>
          </rPr>
          <t>louis fletcher:</t>
        </r>
        <r>
          <rPr>
            <sz val="9"/>
            <color indexed="81"/>
            <rFont val="Tahoma"/>
            <family val="2"/>
          </rPr>
          <t xml:space="preserve">
Total NA Sales - NA Stores Sales</t>
        </r>
      </text>
    </comment>
    <comment ref="E119" authorId="0" shapeId="0" xr:uid="{A9B349C7-5C6E-4B7E-8907-3303E8A23F5A}">
      <text>
        <r>
          <rPr>
            <b/>
            <sz val="9"/>
            <color indexed="81"/>
            <rFont val="Tahoma"/>
            <family val="2"/>
          </rPr>
          <t>louis fletcher:</t>
        </r>
        <r>
          <rPr>
            <sz val="9"/>
            <color indexed="81"/>
            <rFont val="Tahoma"/>
            <family val="2"/>
          </rPr>
          <t xml:space="preserve">
find in 2023 10-k</t>
        </r>
      </text>
    </comment>
    <comment ref="B120" authorId="0" shapeId="0" xr:uid="{6FB43BF7-579C-4110-95F7-552EEF026318}">
      <text>
        <r>
          <rPr>
            <b/>
            <sz val="9"/>
            <color indexed="81"/>
            <rFont val="Tahoma"/>
            <family val="2"/>
          </rPr>
          <t>louis fletcher:</t>
        </r>
        <r>
          <rPr>
            <sz val="9"/>
            <color indexed="81"/>
            <rFont val="Tahoma"/>
            <family val="2"/>
          </rPr>
          <t xml:space="preserve">
Total Direct Sales - Direct NA Sales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louis fletcher</author>
  </authors>
  <commentList>
    <comment ref="K14" authorId="0" shapeId="0" xr:uid="{28859608-7B80-45B3-AA1B-CCDFBB816DA0}">
      <text>
        <r>
          <rPr>
            <b/>
            <sz val="9"/>
            <color indexed="81"/>
            <rFont val="Tahoma"/>
            <family val="2"/>
          </rPr>
          <t>louis fletcher:</t>
        </r>
        <r>
          <rPr>
            <sz val="9"/>
            <color indexed="81"/>
            <rFont val="Tahoma"/>
            <family val="2"/>
          </rPr>
          <t xml:space="preserve">
last 5-yrs sugest normilisation towards 3.5%</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louis fletcher</author>
  </authors>
  <commentList>
    <comment ref="A10" authorId="0" shapeId="0" xr:uid="{9A7505C8-8AC7-4709-957C-C6487AFB70CB}">
      <text>
        <r>
          <rPr>
            <b/>
            <sz val="9"/>
            <color indexed="81"/>
            <rFont val="Tahoma"/>
            <family val="2"/>
          </rPr>
          <t>louis fletcher:</t>
        </r>
        <r>
          <rPr>
            <sz val="9"/>
            <color indexed="81"/>
            <rFont val="Tahoma"/>
            <family val="2"/>
          </rPr>
          <t xml:space="preserve">
see WACC sheet</t>
        </r>
      </text>
    </comment>
    <comment ref="J13" authorId="0" shapeId="0" xr:uid="{9BD0D25F-A817-43E9-B1AB-49FD0F89DB3C}">
      <text>
        <r>
          <rPr>
            <b/>
            <sz val="9"/>
            <color indexed="81"/>
            <rFont val="Tahoma"/>
            <family val="2"/>
          </rPr>
          <t>louis fletcher:</t>
        </r>
        <r>
          <rPr>
            <sz val="9"/>
            <color indexed="81"/>
            <rFont val="Tahoma"/>
            <family val="2"/>
          </rPr>
          <t xml:space="preserve">
not yet published</t>
        </r>
      </text>
    </comment>
    <comment ref="A46" authorId="0" shapeId="0" xr:uid="{37D995D6-2B85-4FAA-A649-06975269A823}">
      <text>
        <r>
          <rPr>
            <b/>
            <sz val="9"/>
            <color indexed="81"/>
            <rFont val="Tahoma"/>
            <family val="2"/>
          </rPr>
          <t>louis fletcher:</t>
        </r>
        <r>
          <rPr>
            <sz val="9"/>
            <color indexed="81"/>
            <rFont val="Tahoma"/>
            <family val="2"/>
          </rPr>
          <t xml:space="preserve">
using CapitalIQ LTM</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louis fletcher</author>
  </authors>
  <commentList>
    <comment ref="A4" authorId="0" shapeId="0" xr:uid="{941EC1BE-5E6B-4C97-A282-B3356249DCB2}">
      <text>
        <r>
          <rPr>
            <b/>
            <sz val="9"/>
            <color indexed="81"/>
            <rFont val="Tahoma"/>
            <family val="2"/>
          </rPr>
          <t>louis fletcher:</t>
        </r>
        <r>
          <rPr>
            <sz val="9"/>
            <color indexed="81"/>
            <rFont val="Tahoma"/>
            <family val="2"/>
          </rPr>
          <t xml:space="preserve">
https://www.cnbc.com/quotes/US10Y?msockid=3260a6d56b1b66fb1ccbb26d6a0e674b</t>
        </r>
      </text>
    </comment>
    <comment ref="A8" authorId="0" shapeId="0" xr:uid="{FA4C5614-61F1-43D6-B3C1-9EC38264F7EE}">
      <text>
        <r>
          <rPr>
            <b/>
            <sz val="9"/>
            <color indexed="81"/>
            <rFont val="Tahoma"/>
            <charset val="1"/>
          </rPr>
          <t>louis fletcher:</t>
        </r>
        <r>
          <rPr>
            <sz val="9"/>
            <color indexed="81"/>
            <rFont val="Tahoma"/>
            <charset val="1"/>
          </rPr>
          <t xml:space="preserve">
CapitalIQ Comps mean 5-year Beta</t>
        </r>
      </text>
    </comment>
    <comment ref="A12" authorId="0" shapeId="0" xr:uid="{D29C9CA7-450B-4DB9-A752-023C98FB0970}">
      <text>
        <r>
          <rPr>
            <b/>
            <sz val="9"/>
            <color indexed="81"/>
            <rFont val="Tahoma"/>
            <charset val="1"/>
          </rPr>
          <t>louis fletcher:</t>
        </r>
        <r>
          <rPr>
            <sz val="9"/>
            <color indexed="81"/>
            <rFont val="Tahoma"/>
            <charset val="1"/>
          </rPr>
          <t xml:space="preserve">
200bps assumption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<sst xmlns="http://schemas.openxmlformats.org/spreadsheetml/2006/main" count="1151" uniqueCount="461">
  <si>
    <t>Equity Research Report</t>
  </si>
  <si>
    <t>Elphinstone Capital Management</t>
  </si>
  <si>
    <t>Victoria’s Secret &amp; Co</t>
  </si>
  <si>
    <t>(NYSE:VSCO)</t>
  </si>
  <si>
    <t>(%)</t>
  </si>
  <si>
    <t>Revenue Schedule</t>
  </si>
  <si>
    <t>DTC Revenue</t>
  </si>
  <si>
    <t>Wholesale Revenue</t>
  </si>
  <si>
    <t>Total Revenue</t>
  </si>
  <si>
    <t>2024A</t>
  </si>
  <si>
    <t>2026E</t>
  </si>
  <si>
    <t>2027E</t>
  </si>
  <si>
    <t>2028E</t>
  </si>
  <si>
    <t>2029E</t>
  </si>
  <si>
    <t>2030E</t>
  </si>
  <si>
    <t>O</t>
  </si>
  <si>
    <t>-</t>
  </si>
  <si>
    <t>NA</t>
  </si>
  <si>
    <t>RC</t>
  </si>
  <si>
    <t>REP</t>
  </si>
  <si>
    <t>LTM</t>
  </si>
  <si>
    <t>Revenue</t>
  </si>
  <si>
    <t>Other Revenue</t>
  </si>
  <si>
    <t xml:space="preserve">  Total Revenue</t>
  </si>
  <si>
    <t>Cost Of Goods Sold</t>
  </si>
  <si>
    <t xml:space="preserve">  Gross Profit</t>
  </si>
  <si>
    <t>Selling General &amp; Admin Exp.</t>
  </si>
  <si>
    <t>R &amp; D Exp.</t>
  </si>
  <si>
    <t>Depreciation &amp; Amort.</t>
  </si>
  <si>
    <t>Amort. of Goodwill and Intangibles</t>
  </si>
  <si>
    <t>Other Operating Expense/(Income)</t>
  </si>
  <si>
    <t xml:space="preserve">  Other Operating Exp., Total</t>
  </si>
  <si>
    <t xml:space="preserve">  Operating Income</t>
  </si>
  <si>
    <t>Interest Expense</t>
  </si>
  <si>
    <t>Interest and Invest. Income</t>
  </si>
  <si>
    <t xml:space="preserve">  Net Interest Exp.</t>
  </si>
  <si>
    <t>Other Non-Operating Inc. (Exp.)</t>
  </si>
  <si>
    <t xml:space="preserve">  EBT Excl. Unusual Items</t>
  </si>
  <si>
    <t>Restructuring Charges</t>
  </si>
  <si>
    <t>Merger &amp; Related Restruct. Charges</t>
  </si>
  <si>
    <t>Impairment of Goodwill</t>
  </si>
  <si>
    <t>Asset Writedown</t>
  </si>
  <si>
    <t>Other Unusual Items</t>
  </si>
  <si>
    <t xml:space="preserve">  EBT Incl. Unusual Items</t>
  </si>
  <si>
    <t>Income Tax Expense</t>
  </si>
  <si>
    <t xml:space="preserve">  Earnings from Cont. Ops.</t>
  </si>
  <si>
    <t>Earnings of Discontinued Ops.</t>
  </si>
  <si>
    <t>Extraord. Item &amp; Account. Change</t>
  </si>
  <si>
    <t xml:space="preserve">  Net Income to Company</t>
  </si>
  <si>
    <t>Minority Int. in Earnings</t>
  </si>
  <si>
    <t xml:space="preserve">  Net Income</t>
  </si>
  <si>
    <t>Pref. Dividends and Other Adj.</t>
  </si>
  <si>
    <t xml:space="preserve">  NI to Common Incl Extra Items</t>
  </si>
  <si>
    <t xml:space="preserve">  NI to Common Excl. Extra Items</t>
  </si>
  <si>
    <t>Per Share Items</t>
  </si>
  <si>
    <t>Basic EPS</t>
  </si>
  <si>
    <t>Basic EPS Excl. Extra Items</t>
  </si>
  <si>
    <t>Weighted Avg. Basic Shares Out.</t>
  </si>
  <si>
    <t>Diluted EPS</t>
  </si>
  <si>
    <t>Diluted EPS Excl. Extra Items</t>
  </si>
  <si>
    <t>Weighted Avg. Diluted Shares Out.</t>
  </si>
  <si>
    <t>Normalized Basic EPS</t>
  </si>
  <si>
    <t>Normalized Diluted EPS</t>
  </si>
  <si>
    <t>Dividends per Share</t>
  </si>
  <si>
    <t>Supplemental Items</t>
  </si>
  <si>
    <t>EBITDA</t>
  </si>
  <si>
    <t>EBITA</t>
  </si>
  <si>
    <t>EBIT</t>
  </si>
  <si>
    <t>EBITDAR</t>
  </si>
  <si>
    <t>Effective Tax Rate %</t>
  </si>
  <si>
    <t>Current Domestic Taxes</t>
  </si>
  <si>
    <t>Current Foreign Taxes</t>
  </si>
  <si>
    <t>Total Current Taxes</t>
  </si>
  <si>
    <t>Deferred Domestic Taxes</t>
  </si>
  <si>
    <t>Deferred Foreign Taxes</t>
  </si>
  <si>
    <t>Total Deferred Taxes</t>
  </si>
  <si>
    <t>Normalized Net Income</t>
  </si>
  <si>
    <t>Filing Date</t>
  </si>
  <si>
    <t>Restatement Type</t>
  </si>
  <si>
    <t>Calculation Type</t>
  </si>
  <si>
    <t>Supplemental Operating Expense Items</t>
  </si>
  <si>
    <t>Advertising Exp.</t>
  </si>
  <si>
    <t>Selling and Marketing Exp.</t>
  </si>
  <si>
    <t>General and Administrative Exp.</t>
  </si>
  <si>
    <t>Net Rental Exp.</t>
  </si>
  <si>
    <t>Imputed Oper. Lease Interest Exp.</t>
  </si>
  <si>
    <t>Imputed Oper. Lease Depreciation</t>
  </si>
  <si>
    <t>Stock-Based Comp., COGS</t>
  </si>
  <si>
    <t>Stock-Based Comp., SG&amp;A Exp.</t>
  </si>
  <si>
    <t>Stock-Based Comp., Unallocated</t>
  </si>
  <si>
    <t xml:space="preserve">  Stock-Based Comp., Total</t>
  </si>
  <si>
    <t>Income Statement</t>
  </si>
  <si>
    <t>2025LTM</t>
  </si>
  <si>
    <t>x</t>
  </si>
  <si>
    <t>Balance Sheet</t>
  </si>
  <si>
    <t>Avg Cost</t>
  </si>
  <si>
    <t>NC</t>
  </si>
  <si>
    <t>ASSETS</t>
  </si>
  <si>
    <t>Cash And Equivalents</t>
  </si>
  <si>
    <t xml:space="preserve">  Total Cash &amp; ST Investments</t>
  </si>
  <si>
    <t>Accounts Receivable</t>
  </si>
  <si>
    <t xml:space="preserve">  Total Receivables</t>
  </si>
  <si>
    <t>Inventory</t>
  </si>
  <si>
    <t>Other Current Assets</t>
  </si>
  <si>
    <t xml:space="preserve">  Total Current Assets</t>
  </si>
  <si>
    <t>Gross Property, Plant &amp; Equipment</t>
  </si>
  <si>
    <t>Accumulated Depreciation</t>
  </si>
  <si>
    <t xml:space="preserve">  Net Property, Plant &amp; Equipment</t>
  </si>
  <si>
    <t>Long-term Investments</t>
  </si>
  <si>
    <t>Goodwill</t>
  </si>
  <si>
    <t>Other Intangibles</t>
  </si>
  <si>
    <t>Deferred Tax Assets, LT</t>
  </si>
  <si>
    <t>Other Long-Term Assets</t>
  </si>
  <si>
    <t>Total Assets</t>
  </si>
  <si>
    <t>LIABILITIES</t>
  </si>
  <si>
    <t>Accounts Payable</t>
  </si>
  <si>
    <t>Accrued Exp.</t>
  </si>
  <si>
    <t>Curr. Port. of LT Debt</t>
  </si>
  <si>
    <t>Curr. Port. of Leases</t>
  </si>
  <si>
    <t>Curr. Income Taxes Payable</t>
  </si>
  <si>
    <t>Unearned Revenue, Current</t>
  </si>
  <si>
    <t>Other Current Liabilities</t>
  </si>
  <si>
    <t xml:space="preserve">  Total Current Liabilities</t>
  </si>
  <si>
    <t>Long-Term Debt</t>
  </si>
  <si>
    <t>Long-Term Leases</t>
  </si>
  <si>
    <t>Unearned Revenue, Non-Current</t>
  </si>
  <si>
    <t>Def. Tax Liability, Non-Curr.</t>
  </si>
  <si>
    <t>Other Non-Current Liabilities</t>
  </si>
  <si>
    <t>Total Liabilities</t>
  </si>
  <si>
    <t>Common Stock</t>
  </si>
  <si>
    <t>Additional Paid In Capital</t>
  </si>
  <si>
    <t>Retained Earnings</t>
  </si>
  <si>
    <t>Treasury Stock</t>
  </si>
  <si>
    <t>Comprehensive Inc. and Other</t>
  </si>
  <si>
    <t xml:space="preserve">  Total Common Equity</t>
  </si>
  <si>
    <t>Minority Interest</t>
  </si>
  <si>
    <t>Total Equity</t>
  </si>
  <si>
    <t>Total Liabilities And Equity</t>
  </si>
  <si>
    <t>Total Shares Out. on Filing Date</t>
  </si>
  <si>
    <t>Total Shares Out. on Balance Sheet Date</t>
  </si>
  <si>
    <t>Book Value/Share</t>
  </si>
  <si>
    <t>Tangible Book Value</t>
  </si>
  <si>
    <t>Tangible Book Value/Share</t>
  </si>
  <si>
    <t>Total Debt</t>
  </si>
  <si>
    <t>Net Debt</t>
  </si>
  <si>
    <t>Debt Equiv. of Unfunded Proj. Benefit Obligation</t>
  </si>
  <si>
    <t>Debt Equivalent Oper. Leases</t>
  </si>
  <si>
    <t>Total Minority Interest</t>
  </si>
  <si>
    <t>Equity Method Investments</t>
  </si>
  <si>
    <t>Inventory Method</t>
  </si>
  <si>
    <t>Raw Materials Inventory</t>
  </si>
  <si>
    <t>Finished Goods Inventory</t>
  </si>
  <si>
    <t>Land</t>
  </si>
  <si>
    <t>Buildings</t>
  </si>
  <si>
    <t>Machinery</t>
  </si>
  <si>
    <t>Construction in Progress</t>
  </si>
  <si>
    <t>Leasehold Improvements</t>
  </si>
  <si>
    <t>Full Time Employees</t>
  </si>
  <si>
    <t>Part-Time Employees</t>
  </si>
  <si>
    <t>Cash Flow Statement</t>
  </si>
  <si>
    <t>Net Income</t>
  </si>
  <si>
    <t>Depreciation &amp; Amort., Total</t>
  </si>
  <si>
    <t>(Gain) Loss From Sale Of Assets</t>
  </si>
  <si>
    <t>(Gain) Loss On Sale Of Invest.</t>
  </si>
  <si>
    <t>Asset Writedown &amp; Restructuring Costs</t>
  </si>
  <si>
    <t>(Income) Loss on Equity Invest.</t>
  </si>
  <si>
    <t>Stock-Based Compensation</t>
  </si>
  <si>
    <t>Other Operating Activities</t>
  </si>
  <si>
    <t>Change in Acc. Receivable</t>
  </si>
  <si>
    <t>Change In Inventories</t>
  </si>
  <si>
    <t>Change in Acc. Payable</t>
  </si>
  <si>
    <t>Change in Inc. Taxes</t>
  </si>
  <si>
    <t>Change in Other Net Operating Assets</t>
  </si>
  <si>
    <t xml:space="preserve">  Cash from Ops.</t>
  </si>
  <si>
    <t>Capital Expenditure</t>
  </si>
  <si>
    <t>Sale of Property, Plant, and Equipment</t>
  </si>
  <si>
    <t>Cash Acquisitions</t>
  </si>
  <si>
    <t>Divestitures</t>
  </si>
  <si>
    <t>Invest. in Marketable &amp; Equity Securt.</t>
  </si>
  <si>
    <t>Net (Inc.) Dec. in Loans Originated/Sold</t>
  </si>
  <si>
    <t>Other Investing Activities</t>
  </si>
  <si>
    <t xml:space="preserve">  Cash from Investing</t>
  </si>
  <si>
    <t>Short Term Debt Issued</t>
  </si>
  <si>
    <t>Long-Term Debt Issued</t>
  </si>
  <si>
    <t>Total Debt Issued</t>
  </si>
  <si>
    <t>Short Term Debt Repaid</t>
  </si>
  <si>
    <t>Long-Term Debt Repaid</t>
  </si>
  <si>
    <t>Total Debt Repaid</t>
  </si>
  <si>
    <t>Issuance of Common Stock</t>
  </si>
  <si>
    <t>Repurchase of Common Stock</t>
  </si>
  <si>
    <t>Total Dividends Paid</t>
  </si>
  <si>
    <t>Special Dividend Paid</t>
  </si>
  <si>
    <t>Other Financing Activities</t>
  </si>
  <si>
    <t xml:space="preserve">  Cash from Financing</t>
  </si>
  <si>
    <t>Foreign Exchange Rate Adj.</t>
  </si>
  <si>
    <t xml:space="preserve">  Net Change in Cash</t>
  </si>
  <si>
    <t>Cash Interest Paid</t>
  </si>
  <si>
    <t>Cash Taxes Paid</t>
  </si>
  <si>
    <t>Levered Free Cash Flow</t>
  </si>
  <si>
    <t>Unlevered Free Cash Flow</t>
  </si>
  <si>
    <t>Change in Net Working Capital</t>
  </si>
  <si>
    <t>Net Debt Issued</t>
  </si>
  <si>
    <t>Revenue Build</t>
  </si>
  <si>
    <t>Revenue Assumptions</t>
  </si>
  <si>
    <t>2021A</t>
  </si>
  <si>
    <t>2022A</t>
  </si>
  <si>
    <t>2023A</t>
  </si>
  <si>
    <t>NM</t>
  </si>
  <si>
    <t>RUP</t>
  </si>
  <si>
    <t>Historical Actuals</t>
  </si>
  <si>
    <t>FY-4</t>
  </si>
  <si>
    <t>FY-3</t>
  </si>
  <si>
    <t>FY-2</t>
  </si>
  <si>
    <t>FY-1</t>
  </si>
  <si>
    <t>FY0 (Base)</t>
  </si>
  <si>
    <t>FY</t>
  </si>
  <si>
    <t>($MM)</t>
  </si>
  <si>
    <t>YoY Growth</t>
  </si>
  <si>
    <t>5-yr CAGR</t>
  </si>
  <si>
    <t>3-yr CAGR</t>
  </si>
  <si>
    <t>2020A</t>
  </si>
  <si>
    <t>Assets on Oper. Lease, Gross</t>
  </si>
  <si>
    <t>Non-Cash Pension Expense</t>
  </si>
  <si>
    <t>Marketing Exp.</t>
  </si>
  <si>
    <t>FY-5</t>
  </si>
  <si>
    <t>4-yr CAGR</t>
  </si>
  <si>
    <t>Year</t>
  </si>
  <si>
    <t>5-yr CAGR*</t>
  </si>
  <si>
    <t>YoY Growth (imp.)</t>
  </si>
  <si>
    <t>FY+1</t>
  </si>
  <si>
    <t>FY+2</t>
  </si>
  <si>
    <t>FY+3</t>
  </si>
  <si>
    <t>FY+4</t>
  </si>
  <si>
    <t>FY+5</t>
  </si>
  <si>
    <t>North America Stores</t>
  </si>
  <si>
    <t>Direct</t>
  </si>
  <si>
    <t>International</t>
  </si>
  <si>
    <t>Total Net Sales</t>
  </si>
  <si>
    <t>Dissagregated Actuals</t>
  </si>
  <si>
    <t>as a % of sales</t>
  </si>
  <si>
    <t>FY0</t>
  </si>
  <si>
    <t>Base Case</t>
  </si>
  <si>
    <t>Best Case</t>
  </si>
  <si>
    <t>Worst Case</t>
  </si>
  <si>
    <t>2026-2030</t>
  </si>
  <si>
    <t>Research Forecast</t>
  </si>
  <si>
    <t>NA Store Units</t>
  </si>
  <si>
    <t>NA Store ASP</t>
  </si>
  <si>
    <t>NA Store Revenue</t>
  </si>
  <si>
    <t>Int. Sale ASP</t>
  </si>
  <si>
    <t xml:space="preserve">Sales per Average Store </t>
  </si>
  <si>
    <t>($TT)</t>
  </si>
  <si>
    <t>converted</t>
  </si>
  <si>
    <t>growth (decrease)</t>
  </si>
  <si>
    <t>NA Store Growth</t>
  </si>
  <si>
    <t>tapered cost infl.</t>
  </si>
  <si>
    <t>cost inflation</t>
  </si>
  <si>
    <t>DCF</t>
  </si>
  <si>
    <t>Discounted Cash Flow Model</t>
  </si>
  <si>
    <t>Date</t>
  </si>
  <si>
    <t>Today's Share Price</t>
  </si>
  <si>
    <t>Ticker</t>
  </si>
  <si>
    <t>Implied Share Price</t>
  </si>
  <si>
    <t>Assumptions</t>
  </si>
  <si>
    <t>WACC</t>
  </si>
  <si>
    <t>TGR</t>
  </si>
  <si>
    <t>Taxes</t>
  </si>
  <si>
    <t>Cash Flow Items</t>
  </si>
  <si>
    <t>D&amp;A</t>
  </si>
  <si>
    <t>CapEx</t>
  </si>
  <si>
    <t>Change in NWC</t>
  </si>
  <si>
    <t>2019A</t>
  </si>
  <si>
    <t>Q1</t>
  </si>
  <si>
    <t>Q2</t>
  </si>
  <si>
    <t>Q3</t>
  </si>
  <si>
    <t>Q4 (Guidance)</t>
  </si>
  <si>
    <t>May-03-2025</t>
  </si>
  <si>
    <t>Aug-02-2025</t>
  </si>
  <si>
    <t>Nov-01-2025</t>
  </si>
  <si>
    <t>Feb-01-2025</t>
  </si>
  <si>
    <t>year end</t>
  </si>
  <si>
    <t>FY-6</t>
  </si>
  <si>
    <t>growth rate</t>
  </si>
  <si>
    <t>as a % of EBIT</t>
  </si>
  <si>
    <t>Full Assortment</t>
  </si>
  <si>
    <t>U.S Stores</t>
  </si>
  <si>
    <t>Canada Stores</t>
  </si>
  <si>
    <t>Adore Me Stores</t>
  </si>
  <si>
    <t>Beauty &amp; Accessories</t>
  </si>
  <si>
    <t>China</t>
  </si>
  <si>
    <t>International Stores (partner-operated)</t>
  </si>
  <si>
    <t>International ex-China</t>
  </si>
  <si>
    <t>North America Stores (company-operated)</t>
  </si>
  <si>
    <t>China partner-operated stores</t>
  </si>
  <si>
    <t>sub-total</t>
  </si>
  <si>
    <t>China Stores (Joint Venture)</t>
  </si>
  <si>
    <t>Total</t>
  </si>
  <si>
    <t>Capital Expenditures</t>
  </si>
  <si>
    <t>U.S.</t>
  </si>
  <si>
    <t>Outside of the U.S.</t>
  </si>
  <si>
    <t>Disclosed Business Segments</t>
  </si>
  <si>
    <t>Stores -- North America</t>
  </si>
  <si>
    <t>International (incl. China JV)</t>
  </si>
  <si>
    <t>growing</t>
  </si>
  <si>
    <t>flat</t>
  </si>
  <si>
    <t>slowing</t>
  </si>
  <si>
    <t>Total International (incl. China JV)</t>
  </si>
  <si>
    <t>Total Stores</t>
  </si>
  <si>
    <t>Disclosed Geographical Segments</t>
  </si>
  <si>
    <t>Total NA Stores (ex-Adore Me)</t>
  </si>
  <si>
    <t>FY2025 Revenue Build (10-k has not yet been released)</t>
  </si>
  <si>
    <t>In-Store Sales</t>
  </si>
  <si>
    <t>Direct Sales</t>
  </si>
  <si>
    <t>Total NA Sales</t>
  </si>
  <si>
    <t>U.S. Sales</t>
  </si>
  <si>
    <t>% NA Stores in Canada</t>
  </si>
  <si>
    <t>NA Stores Sales</t>
  </si>
  <si>
    <t>Direct NA Sales</t>
  </si>
  <si>
    <t>Total Direct Sales</t>
  </si>
  <si>
    <t>Direct Int. Sales</t>
  </si>
  <si>
    <t>Total Direct Sales (as calc.)</t>
  </si>
  <si>
    <t>International Sales (ex-Direct)</t>
  </si>
  <si>
    <t>Int. Store Growth</t>
  </si>
  <si>
    <t>Int. Price increases</t>
  </si>
  <si>
    <t>Total NA In-store Sales</t>
  </si>
  <si>
    <t>Disclosed no. of stores</t>
  </si>
  <si>
    <t>Total Sales</t>
  </si>
  <si>
    <t>Disclosed Total Sales</t>
  </si>
  <si>
    <t>International In-store Sales</t>
  </si>
  <si>
    <t>NA In-store Sales</t>
  </si>
  <si>
    <t>No. of International Stores</t>
  </si>
  <si>
    <t>Average no. of NA stores</t>
  </si>
  <si>
    <t>Average Sales per NA Store</t>
  </si>
  <si>
    <t>Avg. no. of International Stores</t>
  </si>
  <si>
    <t>Avg. Sales per International Store</t>
  </si>
  <si>
    <t>Int. Store Units</t>
  </si>
  <si>
    <t xml:space="preserve">NA Direct Sales </t>
  </si>
  <si>
    <t>Int. Direct Sales</t>
  </si>
  <si>
    <t>growth</t>
  </si>
  <si>
    <t>2025E</t>
  </si>
  <si>
    <t>Int. Store Revenue</t>
  </si>
  <si>
    <t>change</t>
  </si>
  <si>
    <t>Adjusted Growth</t>
  </si>
  <si>
    <t>Method</t>
  </si>
  <si>
    <t>NA Direct Growth</t>
  </si>
  <si>
    <t>adjusted 2-yr CAGR</t>
  </si>
  <si>
    <t>Int. Direct Growth</t>
  </si>
  <si>
    <t>Economic and Sales Scenarios</t>
  </si>
  <si>
    <t>SCENARIO SWITCH:</t>
  </si>
  <si>
    <t>SALES SCENARIOS</t>
  </si>
  <si>
    <t>NA ASP Growth</t>
  </si>
  <si>
    <t>International ASP Growth</t>
  </si>
  <si>
    <t>tapered YoY average</t>
  </si>
  <si>
    <t>Starting Value</t>
  </si>
  <si>
    <t>tapered scenario</t>
  </si>
  <si>
    <t>Int. ASP Growth</t>
  </si>
  <si>
    <t>Total Store Revenue</t>
  </si>
  <si>
    <t xml:space="preserve">NA Direct Sales Growth </t>
  </si>
  <si>
    <t>International Direct Sales Growth</t>
  </si>
  <si>
    <t>2-yr CAGR</t>
  </si>
  <si>
    <t>consensus:</t>
  </si>
  <si>
    <t>EBIT Schedule</t>
  </si>
  <si>
    <t>as a % of Revenue</t>
  </si>
  <si>
    <t>Common-size Historicals</t>
  </si>
  <si>
    <t>2025-2029</t>
  </si>
  <si>
    <t>Direct Sales Scenarios</t>
  </si>
  <si>
    <t>Account Balances</t>
  </si>
  <si>
    <t>EBIT Forecasting</t>
  </si>
  <si>
    <t>peak</t>
  </si>
  <si>
    <t>trough</t>
  </si>
  <si>
    <t>EBIT Margins 2020-2025</t>
  </si>
  <si>
    <t>simple average</t>
  </si>
  <si>
    <t>3-yr simple avg.</t>
  </si>
  <si>
    <t>Direct Sales Growth</t>
  </si>
  <si>
    <t>EBIT Margin Scenarios</t>
  </si>
  <si>
    <t>modest op. lev.</t>
  </si>
  <si>
    <t>cyclical pressure</t>
  </si>
  <si>
    <t>normalisation</t>
  </si>
  <si>
    <t>EBIT Margin Growth</t>
  </si>
  <si>
    <t>EBIT MARGIN SCENARIOS</t>
  </si>
  <si>
    <t>Best Case:</t>
  </si>
  <si>
    <t>Reasoning</t>
  </si>
  <si>
    <t>Flatline</t>
  </si>
  <si>
    <t>peak less anom.</t>
  </si>
  <si>
    <t xml:space="preserve"> decay up to EBIT Margin peak 2021A</t>
  </si>
  <si>
    <t>Base Case:</t>
  </si>
  <si>
    <t xml:space="preserve"> decay up to EBIT Margin peak 2022A</t>
  </si>
  <si>
    <t>Operating Income</t>
  </si>
  <si>
    <t>OPM</t>
  </si>
  <si>
    <t>Taxes (on EBIT)</t>
  </si>
  <si>
    <t>Supplemental Items: Cash Taxes Paid</t>
  </si>
  <si>
    <t xml:space="preserve">NA </t>
  </si>
  <si>
    <t>Cash Tax Rate</t>
  </si>
  <si>
    <t>Tax Forecasting</t>
  </si>
  <si>
    <t>Tax Schedule</t>
  </si>
  <si>
    <t>Normalised Cash Tax Rate</t>
  </si>
  <si>
    <t>Taxes on EBIT</t>
  </si>
  <si>
    <t>flatline last 3-yrs simple avg.</t>
  </si>
  <si>
    <t>D&amp;A Forecasting</t>
  </si>
  <si>
    <t>flatline 2025LTM</t>
  </si>
  <si>
    <t>D&amp;A (%ofSales)</t>
  </si>
  <si>
    <t>D&amp;A Schedule</t>
  </si>
  <si>
    <t>start: 5-yr simple avg.</t>
  </si>
  <si>
    <t>Capex (%ofSales)</t>
  </si>
  <si>
    <t xml:space="preserve">Method used: </t>
  </si>
  <si>
    <t xml:space="preserve"> converge up to slightly above D&amp;A</t>
  </si>
  <si>
    <t>Forecast Capital Expenditures as a % of Revenue</t>
  </si>
  <si>
    <t>Capital Expenditure Forecasting</t>
  </si>
  <si>
    <t>Capital Expenditure Schedule</t>
  </si>
  <si>
    <t>Net Working Capital</t>
  </si>
  <si>
    <t>Implied change in NWC</t>
  </si>
  <si>
    <t>NWC as a % of Revenue</t>
  </si>
  <si>
    <t>Net Working Capital Forecast</t>
  </si>
  <si>
    <t>normalise: .1% above D&amp;A</t>
  </si>
  <si>
    <t>start: 3-yr simple avg.</t>
  </si>
  <si>
    <t>normalise: 5-yr simple avg.</t>
  </si>
  <si>
    <t>expon. converge towards D&amp;A</t>
  </si>
  <si>
    <t>linear converge</t>
  </si>
  <si>
    <t>Forecast NWC as a % of Revenue</t>
  </si>
  <si>
    <t>normalise by hand</t>
  </si>
  <si>
    <t>Net Working Captial Schedule</t>
  </si>
  <si>
    <t>NWC (%ofSales)</t>
  </si>
  <si>
    <t>Net Working Captial</t>
  </si>
  <si>
    <t>Change NWC</t>
  </si>
  <si>
    <t>NOPAT</t>
  </si>
  <si>
    <t>FCFF</t>
  </si>
  <si>
    <t>Discount Factor</t>
  </si>
  <si>
    <t>PV of FCFF</t>
  </si>
  <si>
    <t>Terminal Value</t>
  </si>
  <si>
    <t>PV of TV</t>
  </si>
  <si>
    <t>Sum of PVs of FCFFs</t>
  </si>
  <si>
    <t>Enterprise Value</t>
  </si>
  <si>
    <t>Debt</t>
  </si>
  <si>
    <t>Cash</t>
  </si>
  <si>
    <t>Nebt Debt</t>
  </si>
  <si>
    <t>BAABTAVMT0NBTAFI/////wFQAgAAABJDSVEuLklRX0NBU0hfRVFVSVYFAAAAAAAAAAgAAAAUKEludmFsaWQgSWRlbnRpZmllcilgB9Z1sFLeCNIbVHawUt4IE0NJUS4wLklRX0NBU0hfRVFVSVYFAAAAAAAAAAgAAAAUKEludmFsaWQgSWRlbnRpZmllcilgB9Z1sFLeCGAH1nWwUt4I</t>
  </si>
  <si>
    <t>Equity Vaue</t>
  </si>
  <si>
    <t>Diluted Shares Outstanding</t>
  </si>
  <si>
    <t>Capitalisation</t>
  </si>
  <si>
    <t>no. of shares outstanding</t>
  </si>
  <si>
    <t>as of Dec 2025</t>
  </si>
  <si>
    <t>Shares Outstanding</t>
  </si>
  <si>
    <t>(MM)</t>
  </si>
  <si>
    <t>($)</t>
  </si>
  <si>
    <t>Cost of Equity</t>
  </si>
  <si>
    <t>Risk-free Rate</t>
  </si>
  <si>
    <t>Beta</t>
  </si>
  <si>
    <t>Equity Risk Premium</t>
  </si>
  <si>
    <t>Market Rate</t>
  </si>
  <si>
    <t>SPX Return</t>
  </si>
  <si>
    <t>RFR + Credit Spread</t>
  </si>
  <si>
    <t>After-tax Cost of Debt</t>
  </si>
  <si>
    <t>ST Debt</t>
  </si>
  <si>
    <t>LT Debt</t>
  </si>
  <si>
    <t>Current Share Price</t>
  </si>
  <si>
    <t>Market Cap</t>
  </si>
  <si>
    <t>Equity Weighting</t>
  </si>
  <si>
    <t>Debt Weighting</t>
  </si>
  <si>
    <t>Cost of Debt</t>
  </si>
  <si>
    <t>Beta comps</t>
  </si>
  <si>
    <t>Mean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</si>
</sst>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0.00_);_(* \(#,##0.00\);_(* &quot;-&quot;??_);_(@_)"/>
    <numFmt numFmtId="165" formatCode="0.0%\ ;\(0.0%\)"/>
    <numFmt numFmtId="166" formatCode="0.0%;\(0.0%\)"/>
    <numFmt numFmtId="167" formatCode="_(* #,##0.0_);_(* \(#,##0.0\)_)\ ;_(* 0_)"/>
    <numFmt numFmtId="168" formatCode="_(\$#,##0.0#_);_(\(\$#,##0.0#\)_);_(\$&quot; - &quot;_)"/>
    <numFmt numFmtId="169" formatCode="_(* #,##0.0#_);_(* \(#,##0.0#\)_)\ ;_(* 0_)"/>
    <numFmt numFmtId="170" formatCode="_(#,##0.0%_);_(\(#,##0.0%\)_);_(#,##0.0%_)"/>
    <numFmt numFmtId="171" formatCode="mmm\-dd\-yyyy"/>
    <numFmt numFmtId="172" formatCode="_(* #,##0_);_(* \(#,##0\)_)\ ;_(* 0_)"/>
    <numFmt numFmtId="173" formatCode="0.0%"/>
    <numFmt numFmtId="174" formatCode="\+0.0%\ ;\-0.0%"/>
    <numFmt numFmtId="175" formatCode="_([$$-409]* #,##0.00_);_([$$-409]* \(#,##0.00\);_([$$-409]* &quot;-&quot;??_);_(@_)"/>
    <numFmt numFmtId="176" formatCode="0.00%;\(0.00%\)"/>
    <numFmt numFmtId="177" formatCode="0.00_);\(0.00\)"/>
    <numFmt numFmtId="178" formatCode="0_);\(0\)"/>
    <numFmt numFmtId="179" formatCode="0.00\ "/>
    <numFmt numFmtId="180" formatCode="0%;\(0%\)"/>
    <numFmt numFmtId="181" formatCode="_-* #,##0.0_-;\-* #,##0.0_-;_-* &quot;-&quot;?_-;_-@_-"/>
    <numFmt numFmtId="182" formatCode="[$-F400]h:mm:ss\ AM/PM"/>
    <numFmt numFmtId="185" formatCode="0.0"/>
    <numFmt numFmtId="188" formatCode="_-[$$-409]* #,##0.00_ ;_-[$$-409]* \-#,##0.00\ ;_-[$$-409]* &quot;-&quot;??_ ;_-@_ "/>
  </numFmts>
  <fonts count="55">
    <font>
      <sz val="11"/>
      <color theme="1"/>
      <name val="Calibri"/>
      <family val="2"/>
      <scheme val="minor"/>
    </font>
    <font>
      <sz val="11"/>
      <color theme="1"/>
      <name val="Calibri"/>
      <family val="2"/>
      <scheme val="minor"/>
    </font>
    <font>
      <b/>
      <sz val="11"/>
      <color theme="1"/>
      <name val="Calibri"/>
      <family val="2"/>
      <scheme val="minor"/>
    </font>
    <font>
      <sz val="16"/>
      <color rgb="FF000000"/>
      <name val="Times New Roman"/>
      <family val="1"/>
    </font>
    <font>
      <b/>
      <sz val="22"/>
      <color rgb="FF405865"/>
      <name val="Times New Roman"/>
      <family val="1"/>
    </font>
    <font>
      <sz val="12"/>
      <color theme="1"/>
      <name val="Calibri"/>
      <family val="2"/>
      <scheme val="minor"/>
    </font>
    <font>
      <sz val="11"/>
      <color theme="1"/>
      <name val="Times New Roman"/>
      <family val="1"/>
    </font>
    <font>
      <b/>
      <sz val="12"/>
      <color rgb="FF405865"/>
      <name val="Times New Roman"/>
      <family val="1"/>
    </font>
    <font>
      <sz val="9"/>
      <color indexed="81"/>
      <name val="Tahoma"/>
      <family val="2"/>
    </font>
    <font>
      <b/>
      <sz val="9"/>
      <color indexed="81"/>
      <name val="Tahoma"/>
      <family val="2"/>
    </font>
    <font>
      <sz val="10"/>
      <name val="Times New Roman"/>
      <family val="1"/>
    </font>
    <font>
      <sz val="8"/>
      <color indexed="8"/>
      <name val="Arial"/>
      <family val="2"/>
    </font>
    <font>
      <b/>
      <sz val="8"/>
      <color indexed="8"/>
      <name val="Arial"/>
      <family val="2"/>
    </font>
    <font>
      <b/>
      <u val="double"/>
      <sz val="8"/>
      <color indexed="8"/>
      <name val="Arial"/>
      <family val="2"/>
    </font>
    <font>
      <b/>
      <u/>
      <sz val="8"/>
      <color indexed="8"/>
      <name val="Arial"/>
      <family val="2"/>
    </font>
    <font>
      <sz val="8"/>
      <name val="Calibri"/>
      <family val="2"/>
      <scheme val="minor"/>
    </font>
    <font>
      <sz val="10"/>
      <color theme="1"/>
      <name val="Calibri"/>
      <family val="2"/>
      <scheme val="minor"/>
    </font>
    <font>
      <b/>
      <sz val="10"/>
      <color theme="1"/>
      <name val="Calibri"/>
      <family val="2"/>
      <scheme val="minor"/>
    </font>
    <font>
      <i/>
      <sz val="11"/>
      <color theme="1"/>
      <name val="Calibri"/>
      <family val="2"/>
      <scheme val="minor"/>
    </font>
    <font>
      <u/>
      <sz val="11"/>
      <color theme="1"/>
      <name val="Calibri"/>
      <family val="2"/>
      <scheme val="minor"/>
    </font>
    <font>
      <sz val="11"/>
      <color theme="8"/>
      <name val="Calibri"/>
      <family val="2"/>
      <scheme val="minor"/>
    </font>
    <font>
      <b/>
      <sz val="11"/>
      <color theme="0"/>
      <name val="Calibri"/>
      <family val="2"/>
      <scheme val="minor"/>
    </font>
    <font>
      <sz val="11"/>
      <color theme="0"/>
      <name val="Calibri"/>
      <family val="2"/>
      <scheme val="minor"/>
    </font>
    <font>
      <i/>
      <sz val="11"/>
      <color theme="8"/>
      <name val="Calibri"/>
      <family val="2"/>
      <scheme val="minor"/>
    </font>
    <font>
      <sz val="11"/>
      <color rgb="FF105496"/>
      <name val="Calibri"/>
      <family val="2"/>
      <scheme val="minor"/>
    </font>
    <font>
      <b/>
      <u/>
      <sz val="11"/>
      <color theme="1"/>
      <name val="Calibri"/>
      <family val="2"/>
      <scheme val="minor"/>
    </font>
    <font>
      <b/>
      <u/>
      <sz val="14"/>
      <color theme="1"/>
      <name val="Calibri"/>
      <family val="2"/>
      <scheme val="minor"/>
    </font>
    <font>
      <sz val="14"/>
      <color theme="1"/>
      <name val="Calibri"/>
      <family val="2"/>
      <scheme val="minor"/>
    </font>
    <font>
      <sz val="11"/>
      <color theme="9"/>
      <name val="Calibri"/>
      <family val="2"/>
      <scheme val="minor"/>
    </font>
    <font>
      <sz val="16"/>
      <name val="Arial"/>
      <family val="2"/>
    </font>
    <font>
      <b/>
      <sz val="18"/>
      <name val="Arial"/>
      <family val="2"/>
    </font>
    <font>
      <b/>
      <sz val="16"/>
      <name val="Arial"/>
      <family val="2"/>
    </font>
    <font>
      <sz val="10"/>
      <name val="Arial"/>
      <family val="2"/>
    </font>
    <font>
      <b/>
      <sz val="14"/>
      <name val="Arial"/>
      <family val="2"/>
    </font>
    <font>
      <i/>
      <sz val="10"/>
      <name val="Arial"/>
      <family val="2"/>
    </font>
    <font>
      <b/>
      <sz val="10"/>
      <name val="Arial"/>
      <family val="2"/>
    </font>
    <font>
      <b/>
      <sz val="10"/>
      <color indexed="12"/>
      <name val="Arial"/>
      <family val="2"/>
    </font>
    <font>
      <b/>
      <u/>
      <sz val="10"/>
      <name val="Arial"/>
      <family val="2"/>
    </font>
    <font>
      <b/>
      <i/>
      <sz val="12"/>
      <name val="Arial"/>
      <family val="2"/>
    </font>
    <font>
      <b/>
      <sz val="11"/>
      <name val="Arial"/>
      <family val="2"/>
    </font>
    <font>
      <sz val="10"/>
      <color indexed="12"/>
      <name val="Arial"/>
      <family val="2"/>
    </font>
    <font>
      <sz val="9"/>
      <color indexed="12"/>
      <name val="Arial"/>
      <family val="2"/>
    </font>
    <font>
      <sz val="9"/>
      <name val="Arial"/>
      <family val="2"/>
    </font>
    <font>
      <sz val="10"/>
      <name val="Aldine401 BT"/>
    </font>
    <font>
      <sz val="9"/>
      <color indexed="8"/>
      <name val="Arial"/>
      <family val="2"/>
    </font>
    <font>
      <b/>
      <sz val="10"/>
      <color indexed="8"/>
      <name val="Arial"/>
      <family val="2"/>
    </font>
    <font>
      <sz val="9"/>
      <color rgb="FF009B73"/>
      <name val="Arial"/>
      <family val="2"/>
    </font>
    <font>
      <b/>
      <sz val="10"/>
      <color theme="0"/>
      <name val="Arial"/>
      <family val="2"/>
    </font>
    <font>
      <sz val="11"/>
      <name val="Calibri"/>
      <family val="2"/>
      <scheme val="minor"/>
    </font>
    <font>
      <i/>
      <sz val="11"/>
      <name val="Calibri"/>
      <family val="2"/>
      <scheme val="minor"/>
    </font>
    <font>
      <sz val="9"/>
      <color rgb="FF105496"/>
      <name val="Arial"/>
      <family val="2"/>
    </font>
    <font>
      <i/>
      <sz val="11"/>
      <color rgb="FF105496"/>
      <name val="Calibri"/>
      <family val="2"/>
      <scheme val="minor"/>
    </font>
    <font>
      <b/>
      <sz val="11"/>
      <color theme="9"/>
      <name val="Calibri"/>
      <family val="2"/>
      <scheme val="minor"/>
    </font>
    <font>
      <sz val="9"/>
      <color indexed="81"/>
      <name val="Tahoma"/>
      <charset val="1"/>
    </font>
    <font>
      <b/>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103A41"/>
        <bgColor indexed="64"/>
      </patternFill>
    </fill>
    <fill>
      <patternFill patternType="solid">
        <fgColor rgb="FFFFFF99"/>
        <bgColor indexed="64"/>
      </patternFill>
    </fill>
  </fills>
  <borders count="58">
    <border>
      <left/>
      <right/>
      <top/>
      <bottom/>
      <diagonal/>
    </border>
    <border>
      <left/>
      <right/>
      <top style="medium">
        <color indexed="64"/>
      </top>
      <bottom/>
      <diagonal/>
    </border>
    <border>
      <left/>
      <right/>
      <top/>
      <bottom style="medium">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right/>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ashed">
        <color indexed="64"/>
      </bottom>
      <diagonal/>
    </border>
    <border>
      <left/>
      <right style="dashed">
        <color indexed="64"/>
      </right>
      <top/>
      <bottom/>
      <diagonal/>
    </border>
    <border>
      <left style="dashed">
        <color indexed="64"/>
      </left>
      <right style="dashed">
        <color indexed="64"/>
      </right>
      <top style="dashed">
        <color indexed="64"/>
      </top>
      <bottom style="dashed">
        <color indexed="64"/>
      </bottom>
      <diagonal/>
    </border>
    <border>
      <left/>
      <right style="dashed">
        <color indexed="64"/>
      </right>
      <top style="dashed">
        <color indexed="64"/>
      </top>
      <bottom style="dashed">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double">
        <color indexed="64"/>
      </top>
      <bottom/>
      <diagonal/>
    </border>
    <border>
      <left/>
      <right style="dotted">
        <color indexed="64"/>
      </right>
      <top/>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style="dotted">
        <color indexed="64"/>
      </left>
      <right/>
      <top/>
      <bottom/>
      <diagonal/>
    </border>
    <border>
      <left style="thin">
        <color indexed="64"/>
      </left>
      <right style="dotted">
        <color indexed="64"/>
      </right>
      <top/>
      <bottom/>
      <diagonal/>
    </border>
    <border>
      <left style="dotted">
        <color indexed="64"/>
      </left>
      <right/>
      <top/>
      <bottom style="dotted">
        <color indexed="64"/>
      </bottom>
      <diagonal/>
    </border>
    <border>
      <left/>
      <right/>
      <top/>
      <bottom style="dotted">
        <color indexed="64"/>
      </bottom>
      <diagonal/>
    </border>
    <border>
      <left style="thin">
        <color indexed="64"/>
      </left>
      <right style="dotted">
        <color indexed="64"/>
      </right>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right style="dotted">
        <color indexed="64"/>
      </right>
      <top/>
      <bottom style="dotted">
        <color indexed="64"/>
      </bottom>
      <diagonal/>
    </border>
    <border>
      <left/>
      <right style="dotted">
        <color indexed="64"/>
      </right>
      <top style="dotted">
        <color indexed="64"/>
      </top>
      <bottom style="thin">
        <color indexed="64"/>
      </bottom>
      <diagonal/>
    </border>
    <border>
      <left style="thin">
        <color indexed="64"/>
      </left>
      <right style="dotted">
        <color indexed="64"/>
      </right>
      <top style="dotted">
        <color indexed="64"/>
      </top>
      <bottom style="dotted">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10">
    <xf numFmtId="0" fontId="0" fillId="0" borderId="0"/>
    <xf numFmtId="9" fontId="1" fillId="0" borderId="0" applyFont="0" applyFill="0" applyBorder="0" applyAlignment="0" applyProtection="0"/>
    <xf numFmtId="0" fontId="5" fillId="0" borderId="0"/>
    <xf numFmtId="0" fontId="10" fillId="0" borderId="0"/>
    <xf numFmtId="9" fontId="10" fillId="0" borderId="0" applyFont="0" applyFill="0" applyBorder="0" applyAlignment="0" applyProtection="0"/>
    <xf numFmtId="164" fontId="10" fillId="0" borderId="0" applyFont="0" applyFill="0" applyBorder="0" applyAlignment="0" applyProtection="0"/>
    <xf numFmtId="0" fontId="10" fillId="0" borderId="0"/>
    <xf numFmtId="0" fontId="32" fillId="0" borderId="0"/>
    <xf numFmtId="164" fontId="43" fillId="0" borderId="0" applyFont="0" applyFill="0" applyBorder="0" applyAlignment="0" applyProtection="0"/>
    <xf numFmtId="9" fontId="32" fillId="0" borderId="0" applyFont="0" applyFill="0" applyBorder="0" applyAlignment="0" applyProtection="0"/>
  </cellStyleXfs>
  <cellXfs count="329">
    <xf numFmtId="0" fontId="0" fillId="0" borderId="0" xfId="0"/>
    <xf numFmtId="0" fontId="0" fillId="2" borderId="0" xfId="0" applyFill="1"/>
    <xf numFmtId="0" fontId="0" fillId="0" borderId="0" xfId="0" applyAlignment="1">
      <alignment horizontal="centerContinuous"/>
    </xf>
    <xf numFmtId="0" fontId="0" fillId="0" borderId="3" xfId="0" applyBorder="1"/>
    <xf numFmtId="0" fontId="0" fillId="0" borderId="5" xfId="0" applyBorder="1"/>
    <xf numFmtId="0" fontId="2" fillId="0" borderId="0" xfId="0" applyFont="1"/>
    <xf numFmtId="167" fontId="11" fillId="0" borderId="0" xfId="0" applyNumberFormat="1" applyFont="1" applyAlignment="1">
      <alignment horizontal="right" vertical="top" wrapText="1"/>
    </xf>
    <xf numFmtId="167" fontId="12" fillId="0" borderId="12" xfId="0" applyNumberFormat="1" applyFont="1" applyBorder="1" applyAlignment="1">
      <alignment horizontal="right" vertical="top" wrapText="1"/>
    </xf>
    <xf numFmtId="0" fontId="11" fillId="0" borderId="0" xfId="0" applyFont="1" applyAlignment="1">
      <alignment horizontal="left" vertical="top"/>
    </xf>
    <xf numFmtId="167" fontId="12" fillId="0" borderId="0" xfId="0" applyNumberFormat="1" applyFont="1" applyAlignment="1">
      <alignment horizontal="right" vertical="top" wrapText="1"/>
    </xf>
    <xf numFmtId="167" fontId="13" fillId="0" borderId="12" xfId="0" applyNumberFormat="1" applyFont="1" applyBorder="1" applyAlignment="1">
      <alignment horizontal="right" vertical="top" wrapText="1"/>
    </xf>
    <xf numFmtId="168" fontId="11" fillId="0" borderId="0" xfId="0" applyNumberFormat="1" applyFont="1" applyAlignment="1">
      <alignment horizontal="right" vertical="top" wrapText="1"/>
    </xf>
    <xf numFmtId="169" fontId="11" fillId="0" borderId="0" xfId="0" applyNumberFormat="1" applyFont="1" applyAlignment="1">
      <alignment horizontal="right" vertical="top" wrapText="1"/>
    </xf>
    <xf numFmtId="170" fontId="11" fillId="0" borderId="0" xfId="0" applyNumberFormat="1" applyFont="1" applyAlignment="1">
      <alignment horizontal="right" vertical="top" wrapText="1"/>
    </xf>
    <xf numFmtId="171" fontId="11" fillId="0" borderId="0" xfId="0" applyNumberFormat="1" applyFont="1" applyAlignment="1">
      <alignment horizontal="right" vertical="top" wrapText="1"/>
    </xf>
    <xf numFmtId="49" fontId="11" fillId="0" borderId="0" xfId="0" applyNumberFormat="1" applyFont="1" applyAlignment="1">
      <alignment horizontal="right" vertical="top" wrapText="1"/>
    </xf>
    <xf numFmtId="0" fontId="12" fillId="0" borderId="0" xfId="0" applyFont="1" applyAlignment="1">
      <alignment horizontal="left" vertical="top"/>
    </xf>
    <xf numFmtId="0" fontId="2" fillId="0" borderId="0" xfId="0" applyFont="1" applyAlignment="1">
      <alignment horizontal="centerContinuous"/>
    </xf>
    <xf numFmtId="167" fontId="14" fillId="0" borderId="0" xfId="0" applyNumberFormat="1" applyFont="1" applyAlignment="1">
      <alignment horizontal="right" vertical="top" wrapText="1"/>
    </xf>
    <xf numFmtId="167" fontId="13" fillId="0" borderId="0" xfId="0" applyNumberFormat="1" applyFont="1" applyAlignment="1">
      <alignment horizontal="right" vertical="top" wrapText="1"/>
    </xf>
    <xf numFmtId="172" fontId="11" fillId="0" borderId="0" xfId="0" applyNumberFormat="1" applyFont="1" applyAlignment="1">
      <alignment horizontal="right" vertical="top" wrapText="1"/>
    </xf>
    <xf numFmtId="9" fontId="11" fillId="0" borderId="0" xfId="1" applyFont="1" applyAlignment="1">
      <alignment horizontal="left" vertical="top"/>
    </xf>
    <xf numFmtId="0" fontId="0" fillId="0" borderId="13" xfId="0" applyBorder="1"/>
    <xf numFmtId="0" fontId="0" fillId="0" borderId="4" xfId="0" applyBorder="1"/>
    <xf numFmtId="0" fontId="0" fillId="0" borderId="14" xfId="0" applyBorder="1"/>
    <xf numFmtId="0" fontId="0" fillId="0" borderId="10" xfId="0" applyBorder="1"/>
    <xf numFmtId="0" fontId="16" fillId="0" borderId="0" xfId="0" applyFont="1"/>
    <xf numFmtId="166" fontId="0" fillId="0" borderId="0" xfId="1" applyNumberFormat="1" applyFont="1" applyBorder="1"/>
    <xf numFmtId="165" fontId="16" fillId="0" borderId="0" xfId="0" applyNumberFormat="1" applyFont="1"/>
    <xf numFmtId="165" fontId="0" fillId="0" borderId="0" xfId="0" applyNumberFormat="1"/>
    <xf numFmtId="0" fontId="16" fillId="0" borderId="3" xfId="0" applyFont="1" applyBorder="1"/>
    <xf numFmtId="165" fontId="0" fillId="0" borderId="3" xfId="0" applyNumberFormat="1" applyBorder="1"/>
    <xf numFmtId="0" fontId="0" fillId="0" borderId="7" xfId="0" applyBorder="1"/>
    <xf numFmtId="0" fontId="16" fillId="0" borderId="8" xfId="0" applyFont="1" applyBorder="1"/>
    <xf numFmtId="37" fontId="0" fillId="0" borderId="8" xfId="0" applyNumberFormat="1" applyBorder="1"/>
    <xf numFmtId="37" fontId="0" fillId="0" borderId="9" xfId="0" applyNumberFormat="1" applyBorder="1"/>
    <xf numFmtId="165" fontId="0" fillId="3" borderId="0" xfId="0" applyNumberFormat="1" applyFill="1"/>
    <xf numFmtId="165" fontId="0" fillId="3" borderId="3" xfId="0" applyNumberFormat="1" applyFill="1" applyBorder="1"/>
    <xf numFmtId="165" fontId="0" fillId="0" borderId="5" xfId="0" applyNumberFormat="1" applyBorder="1"/>
    <xf numFmtId="165" fontId="0" fillId="0" borderId="6" xfId="0" applyNumberFormat="1" applyBorder="1"/>
    <xf numFmtId="0" fontId="0" fillId="0" borderId="11" xfId="0" applyBorder="1"/>
    <xf numFmtId="0" fontId="17" fillId="0" borderId="0" xfId="0" applyFont="1"/>
    <xf numFmtId="0" fontId="18" fillId="0" borderId="0" xfId="0" applyFont="1"/>
    <xf numFmtId="37" fontId="0" fillId="0" borderId="15" xfId="0" applyNumberFormat="1" applyBorder="1"/>
    <xf numFmtId="173" fontId="18" fillId="0" borderId="3" xfId="1" applyNumberFormat="1" applyFont="1" applyBorder="1"/>
    <xf numFmtId="173" fontId="18" fillId="0" borderId="0" xfId="1" applyNumberFormat="1" applyFont="1"/>
    <xf numFmtId="0" fontId="19" fillId="0" borderId="0" xfId="0" applyFont="1" applyAlignment="1">
      <alignment horizontal="centerContinuous"/>
    </xf>
    <xf numFmtId="0" fontId="0" fillId="0" borderId="6" xfId="0" applyBorder="1"/>
    <xf numFmtId="166" fontId="0" fillId="0" borderId="0" xfId="0" applyNumberFormat="1"/>
    <xf numFmtId="0" fontId="18" fillId="0" borderId="3" xfId="0" applyFont="1" applyBorder="1"/>
    <xf numFmtId="0" fontId="16" fillId="0" borderId="4" xfId="0" applyFont="1" applyBorder="1"/>
    <xf numFmtId="2" fontId="0" fillId="0" borderId="0" xfId="0" applyNumberFormat="1"/>
    <xf numFmtId="1" fontId="0" fillId="0" borderId="0" xfId="0" applyNumberFormat="1"/>
    <xf numFmtId="173" fontId="0" fillId="0" borderId="0" xfId="1" applyNumberFormat="1" applyFont="1"/>
    <xf numFmtId="37" fontId="20" fillId="0" borderId="0" xfId="0" applyNumberFormat="1" applyFont="1"/>
    <xf numFmtId="1" fontId="0" fillId="0" borderId="10" xfId="0" applyNumberFormat="1" applyBorder="1"/>
    <xf numFmtId="37" fontId="2" fillId="0" borderId="4" xfId="0" applyNumberFormat="1" applyFont="1" applyBorder="1"/>
    <xf numFmtId="37" fontId="2" fillId="0" borderId="13" xfId="0" applyNumberFormat="1" applyFont="1" applyBorder="1"/>
    <xf numFmtId="0" fontId="0" fillId="0" borderId="3" xfId="0" applyBorder="1" applyAlignment="1">
      <alignment horizontal="centerContinuous"/>
    </xf>
    <xf numFmtId="0" fontId="2" fillId="0" borderId="3" xfId="0" applyFont="1" applyBorder="1" applyAlignment="1">
      <alignment horizontal="centerContinuous"/>
    </xf>
    <xf numFmtId="0" fontId="0" fillId="0" borderId="18" xfId="0" applyBorder="1"/>
    <xf numFmtId="0" fontId="0" fillId="0" borderId="19" xfId="0" applyBorder="1"/>
    <xf numFmtId="175" fontId="0" fillId="0" borderId="20" xfId="0" applyNumberFormat="1" applyBorder="1"/>
    <xf numFmtId="0" fontId="0" fillId="0" borderId="20" xfId="0" applyBorder="1"/>
    <xf numFmtId="14" fontId="0" fillId="0" borderId="21" xfId="0" applyNumberFormat="1" applyBorder="1"/>
    <xf numFmtId="0" fontId="0" fillId="4" borderId="0" xfId="0" applyFill="1"/>
    <xf numFmtId="0" fontId="22" fillId="4" borderId="0" xfId="0" applyFont="1" applyFill="1"/>
    <xf numFmtId="0" fontId="21" fillId="4" borderId="0" xfId="0" applyFont="1" applyFill="1"/>
    <xf numFmtId="165" fontId="0" fillId="0" borderId="16" xfId="1" applyNumberFormat="1" applyFont="1" applyBorder="1"/>
    <xf numFmtId="3" fontId="0" fillId="0" borderId="0" xfId="0" applyNumberFormat="1"/>
    <xf numFmtId="176" fontId="2" fillId="0" borderId="15" xfId="0" applyNumberFormat="1" applyFont="1" applyBorder="1"/>
    <xf numFmtId="166" fontId="0" fillId="0" borderId="5" xfId="1" applyNumberFormat="1" applyFont="1" applyBorder="1"/>
    <xf numFmtId="0" fontId="21" fillId="4" borderId="1" xfId="0" applyFont="1" applyFill="1" applyBorder="1" applyAlignment="1">
      <alignment horizontal="centerContinuous"/>
    </xf>
    <xf numFmtId="0" fontId="22" fillId="4" borderId="1" xfId="0" applyFont="1" applyFill="1" applyBorder="1" applyAlignment="1">
      <alignment horizontal="centerContinuous"/>
    </xf>
    <xf numFmtId="0" fontId="0" fillId="4" borderId="2" xfId="0" applyFill="1" applyBorder="1"/>
    <xf numFmtId="0" fontId="0" fillId="0" borderId="0" xfId="0" applyAlignment="1">
      <alignment horizontal="right"/>
    </xf>
    <xf numFmtId="0" fontId="20" fillId="0" borderId="0" xfId="0" applyFont="1"/>
    <xf numFmtId="1" fontId="20" fillId="0" borderId="0" xfId="0" applyNumberFormat="1" applyFont="1"/>
    <xf numFmtId="1" fontId="0" fillId="0" borderId="4" xfId="0" applyNumberFormat="1" applyBorder="1"/>
    <xf numFmtId="37" fontId="20" fillId="0" borderId="4" xfId="0" applyNumberFormat="1" applyFont="1" applyBorder="1"/>
    <xf numFmtId="37" fontId="20" fillId="0" borderId="14" xfId="0" applyNumberFormat="1" applyFont="1" applyBorder="1"/>
    <xf numFmtId="0" fontId="18" fillId="0" borderId="11" xfId="0" applyFont="1" applyBorder="1"/>
    <xf numFmtId="0" fontId="19" fillId="0" borderId="0" xfId="0" applyFont="1"/>
    <xf numFmtId="0" fontId="20" fillId="0" borderId="3" xfId="0" applyFont="1" applyBorder="1"/>
    <xf numFmtId="0" fontId="24" fillId="0" borderId="0" xfId="0" applyFont="1"/>
    <xf numFmtId="0" fontId="24" fillId="0" borderId="3" xfId="0" applyFont="1" applyBorder="1"/>
    <xf numFmtId="165" fontId="0" fillId="0" borderId="4" xfId="1" applyNumberFormat="1" applyFont="1" applyBorder="1"/>
    <xf numFmtId="37" fontId="0" fillId="0" borderId="0" xfId="0" applyNumberFormat="1"/>
    <xf numFmtId="9" fontId="0" fillId="0" borderId="16" xfId="1" applyFont="1" applyBorder="1"/>
    <xf numFmtId="0" fontId="2" fillId="0" borderId="13" xfId="0" applyFont="1" applyBorder="1"/>
    <xf numFmtId="0" fontId="2" fillId="0" borderId="4" xfId="0" applyFont="1" applyBorder="1"/>
    <xf numFmtId="0" fontId="2" fillId="0" borderId="14" xfId="0" applyFont="1" applyBorder="1"/>
    <xf numFmtId="9" fontId="0" fillId="0" borderId="23" xfId="1" applyFont="1" applyBorder="1"/>
    <xf numFmtId="165" fontId="0" fillId="0" borderId="23" xfId="1" applyNumberFormat="1" applyFont="1" applyBorder="1"/>
    <xf numFmtId="0" fontId="25" fillId="0" borderId="0" xfId="0" applyFont="1" applyAlignment="1">
      <alignment horizontal="centerContinuous"/>
    </xf>
    <xf numFmtId="0" fontId="26" fillId="0" borderId="0" xfId="0" applyFont="1" applyAlignment="1">
      <alignment horizontal="centerContinuous"/>
    </xf>
    <xf numFmtId="3" fontId="0" fillId="0" borderId="4" xfId="0" applyNumberFormat="1" applyBorder="1"/>
    <xf numFmtId="3" fontId="0" fillId="0" borderId="3" xfId="0" applyNumberFormat="1" applyBorder="1"/>
    <xf numFmtId="3" fontId="2" fillId="0" borderId="0" xfId="0" applyNumberFormat="1" applyFont="1"/>
    <xf numFmtId="3" fontId="2" fillId="0" borderId="4" xfId="0" applyNumberFormat="1" applyFont="1" applyBorder="1"/>
    <xf numFmtId="0" fontId="27" fillId="0" borderId="0" xfId="0" applyFont="1" applyAlignment="1">
      <alignment horizontal="centerContinuous"/>
    </xf>
    <xf numFmtId="0" fontId="0" fillId="0" borderId="24" xfId="0" applyBorder="1"/>
    <xf numFmtId="0" fontId="0" fillId="0" borderId="25" xfId="0" applyBorder="1"/>
    <xf numFmtId="1" fontId="0" fillId="0" borderId="25" xfId="0" applyNumberFormat="1" applyBorder="1"/>
    <xf numFmtId="3" fontId="0" fillId="0" borderId="25" xfId="0" applyNumberFormat="1" applyBorder="1"/>
    <xf numFmtId="3" fontId="0" fillId="0" borderId="26" xfId="0" applyNumberFormat="1" applyBorder="1"/>
    <xf numFmtId="2" fontId="0" fillId="0" borderId="4" xfId="0" applyNumberFormat="1" applyBorder="1"/>
    <xf numFmtId="2" fontId="0" fillId="0" borderId="11" xfId="0" applyNumberFormat="1" applyBorder="1"/>
    <xf numFmtId="1" fontId="0" fillId="0" borderId="13" xfId="0" applyNumberFormat="1" applyBorder="1"/>
    <xf numFmtId="9" fontId="18" fillId="0" borderId="0" xfId="1" applyFont="1"/>
    <xf numFmtId="10" fontId="18" fillId="0" borderId="0" xfId="1" applyNumberFormat="1" applyFont="1"/>
    <xf numFmtId="176" fontId="2" fillId="0" borderId="0" xfId="0" applyNumberFormat="1" applyFont="1"/>
    <xf numFmtId="173" fontId="0" fillId="0" borderId="0" xfId="0" applyNumberFormat="1" applyAlignment="1">
      <alignment horizontal="centerContinuous"/>
    </xf>
    <xf numFmtId="173" fontId="0" fillId="0" borderId="0" xfId="1" applyNumberFormat="1" applyFont="1" applyAlignment="1">
      <alignment horizontal="centerContinuous"/>
    </xf>
    <xf numFmtId="165" fontId="1" fillId="0" borderId="0" xfId="1" applyNumberFormat="1" applyFont="1" applyAlignment="1">
      <alignment horizontal="centerContinuous"/>
    </xf>
    <xf numFmtId="0" fontId="29" fillId="0" borderId="0" xfId="6" applyFont="1"/>
    <xf numFmtId="0" fontId="30" fillId="0" borderId="0" xfId="6" applyFont="1" applyAlignment="1">
      <alignment horizontal="centerContinuous"/>
    </xf>
    <xf numFmtId="0" fontId="31" fillId="0" borderId="0" xfId="6" applyFont="1" applyAlignment="1">
      <alignment horizontal="centerContinuous"/>
    </xf>
    <xf numFmtId="0" fontId="32" fillId="0" borderId="0" xfId="6" applyFont="1"/>
    <xf numFmtId="0" fontId="33" fillId="0" borderId="0" xfId="6" applyFont="1" applyAlignment="1">
      <alignment horizontal="centerContinuous"/>
    </xf>
    <xf numFmtId="0" fontId="32" fillId="0" borderId="2" xfId="6" applyFont="1" applyBorder="1"/>
    <xf numFmtId="0" fontId="32" fillId="0" borderId="2" xfId="6" applyFont="1" applyBorder="1" applyAlignment="1">
      <alignment horizontal="center"/>
    </xf>
    <xf numFmtId="0" fontId="34" fillId="0" borderId="0" xfId="6" quotePrefix="1" applyFont="1" applyAlignment="1">
      <alignment horizontal="left"/>
    </xf>
    <xf numFmtId="0" fontId="34" fillId="0" borderId="0" xfId="6" quotePrefix="1" applyFont="1" applyAlignment="1">
      <alignment horizontal="center"/>
    </xf>
    <xf numFmtId="0" fontId="32" fillId="0" borderId="13" xfId="6" applyFont="1" applyBorder="1"/>
    <xf numFmtId="0" fontId="32" fillId="0" borderId="4" xfId="6" applyFont="1" applyBorder="1"/>
    <xf numFmtId="0" fontId="32" fillId="0" borderId="4" xfId="6" applyFont="1" applyBorder="1" applyAlignment="1">
      <alignment horizontal="center"/>
    </xf>
    <xf numFmtId="0" fontId="32" fillId="0" borderId="14" xfId="6" applyFont="1" applyBorder="1" applyAlignment="1">
      <alignment horizontal="center"/>
    </xf>
    <xf numFmtId="0" fontId="35" fillId="0" borderId="3" xfId="6" applyFont="1" applyBorder="1" applyAlignment="1">
      <alignment horizontal="centerContinuous"/>
    </xf>
    <xf numFmtId="0" fontId="35" fillId="0" borderId="10" xfId="6" applyFont="1" applyBorder="1" applyAlignment="1">
      <alignment vertical="center"/>
    </xf>
    <xf numFmtId="0" fontId="35" fillId="0" borderId="0" xfId="6" applyFont="1"/>
    <xf numFmtId="0" fontId="36" fillId="5" borderId="0" xfId="6" applyFont="1" applyFill="1" applyAlignment="1">
      <alignment horizontal="center" vertical="center"/>
    </xf>
    <xf numFmtId="0" fontId="36" fillId="0" borderId="5" xfId="6" applyFont="1" applyBorder="1" applyAlignment="1">
      <alignment horizontal="center" vertical="center"/>
    </xf>
    <xf numFmtId="0" fontId="35" fillId="0" borderId="0" xfId="6" quotePrefix="1" applyFont="1" applyAlignment="1">
      <alignment horizontal="right"/>
    </xf>
    <xf numFmtId="0" fontId="35" fillId="0" borderId="11" xfId="6" applyFont="1" applyBorder="1"/>
    <xf numFmtId="0" fontId="35" fillId="0" borderId="3" xfId="6" applyFont="1" applyBorder="1"/>
    <xf numFmtId="0" fontId="35" fillId="0" borderId="3" xfId="6" applyFont="1" applyBorder="1" applyAlignment="1">
      <alignment horizontal="center"/>
    </xf>
    <xf numFmtId="0" fontId="35" fillId="0" borderId="6" xfId="6" applyFont="1" applyBorder="1" applyAlignment="1">
      <alignment horizontal="center"/>
    </xf>
    <xf numFmtId="0" fontId="37" fillId="0" borderId="0" xfId="6" quotePrefix="1" applyFont="1" applyAlignment="1">
      <alignment horizontal="right"/>
    </xf>
    <xf numFmtId="0" fontId="37" fillId="0" borderId="0" xfId="6" applyFont="1" applyAlignment="1">
      <alignment horizontal="right"/>
    </xf>
    <xf numFmtId="0" fontId="35" fillId="0" borderId="0" xfId="6" applyFont="1" applyAlignment="1">
      <alignment horizontal="center"/>
    </xf>
    <xf numFmtId="0" fontId="38" fillId="0" borderId="0" xfId="6" quotePrefix="1" applyFont="1" applyAlignment="1">
      <alignment horizontal="left"/>
    </xf>
    <xf numFmtId="0" fontId="39" fillId="0" borderId="0" xfId="6" applyFont="1" applyAlignment="1">
      <alignment horizontal="left"/>
    </xf>
    <xf numFmtId="0" fontId="32" fillId="0" borderId="0" xfId="6" applyFont="1" applyAlignment="1">
      <alignment horizontal="center"/>
    </xf>
    <xf numFmtId="0" fontId="35" fillId="0" borderId="0" xfId="6" applyFont="1" applyAlignment="1">
      <alignment horizontal="left" vertical="center"/>
    </xf>
    <xf numFmtId="0" fontId="36" fillId="0" borderId="0" xfId="6" applyFont="1" applyAlignment="1">
      <alignment horizontal="center"/>
    </xf>
    <xf numFmtId="0" fontId="35" fillId="0" borderId="0" xfId="6" quotePrefix="1" applyFont="1" applyAlignment="1">
      <alignment horizontal="left"/>
    </xf>
    <xf numFmtId="173" fontId="40" fillId="0" borderId="0" xfId="7" applyNumberFormat="1" applyFont="1"/>
    <xf numFmtId="173" fontId="32" fillId="0" borderId="0" xfId="7" applyNumberFormat="1"/>
    <xf numFmtId="0" fontId="32" fillId="0" borderId="0" xfId="6" applyFont="1" applyAlignment="1">
      <alignment horizontal="left"/>
    </xf>
    <xf numFmtId="0" fontId="42" fillId="0" borderId="0" xfId="6" applyFont="1" applyAlignment="1">
      <alignment horizontal="center"/>
    </xf>
    <xf numFmtId="177" fontId="41" fillId="0" borderId="0" xfId="8" applyNumberFormat="1" applyFont="1" applyBorder="1" applyAlignment="1" applyProtection="1">
      <alignment horizontal="right"/>
    </xf>
    <xf numFmtId="177" fontId="44" fillId="0" borderId="0" xfId="8" applyNumberFormat="1" applyFont="1" applyBorder="1" applyAlignment="1" applyProtection="1">
      <alignment horizontal="right"/>
    </xf>
    <xf numFmtId="0" fontId="32" fillId="0" borderId="0" xfId="6" applyFont="1" applyAlignment="1">
      <alignment vertical="center"/>
    </xf>
    <xf numFmtId="0" fontId="36" fillId="0" borderId="0" xfId="6" applyFont="1" applyAlignment="1">
      <alignment horizontal="center" vertical="center"/>
    </xf>
    <xf numFmtId="0" fontId="35" fillId="0" borderId="0" xfId="6" applyFont="1" applyAlignment="1">
      <alignment horizontal="left"/>
    </xf>
    <xf numFmtId="178" fontId="45" fillId="0" borderId="0" xfId="7" applyNumberFormat="1" applyFont="1"/>
    <xf numFmtId="179" fontId="32" fillId="0" borderId="0" xfId="6" applyNumberFormat="1" applyFont="1"/>
    <xf numFmtId="37" fontId="32" fillId="0" borderId="0" xfId="6" applyNumberFormat="1" applyFont="1"/>
    <xf numFmtId="180" fontId="46" fillId="0" borderId="0" xfId="6" applyNumberFormat="1" applyFont="1"/>
    <xf numFmtId="0" fontId="32" fillId="0" borderId="0" xfId="6" quotePrefix="1" applyFont="1" applyAlignment="1">
      <alignment horizontal="left"/>
    </xf>
    <xf numFmtId="37" fontId="41" fillId="0" borderId="0" xfId="7" applyNumberFormat="1" applyFont="1"/>
    <xf numFmtId="37" fontId="42" fillId="0" borderId="0" xfId="7" applyNumberFormat="1" applyFont="1"/>
    <xf numFmtId="0" fontId="32" fillId="0" borderId="3" xfId="6" applyFont="1" applyBorder="1"/>
    <xf numFmtId="0" fontId="32" fillId="0" borderId="3" xfId="6" applyFont="1" applyBorder="1" applyAlignment="1">
      <alignment horizontal="center"/>
    </xf>
    <xf numFmtId="173" fontId="47" fillId="4" borderId="7" xfId="7" applyNumberFormat="1" applyFont="1" applyFill="1" applyBorder="1" applyAlignment="1">
      <alignment vertical="center"/>
    </xf>
    <xf numFmtId="173" fontId="47" fillId="4" borderId="8" xfId="7" applyNumberFormat="1" applyFont="1" applyFill="1" applyBorder="1" applyAlignment="1">
      <alignment vertical="center"/>
    </xf>
    <xf numFmtId="173" fontId="47" fillId="4" borderId="9" xfId="7" applyNumberFormat="1" applyFont="1" applyFill="1" applyBorder="1" applyAlignment="1">
      <alignment vertical="center"/>
    </xf>
    <xf numFmtId="174" fontId="0" fillId="0" borderId="0" xfId="0" applyNumberFormat="1" applyAlignment="1">
      <alignment horizontal="centerContinuous"/>
    </xf>
    <xf numFmtId="173" fontId="0" fillId="0" borderId="0" xfId="1" applyNumberFormat="1" applyFont="1" applyBorder="1"/>
    <xf numFmtId="173" fontId="18" fillId="0" borderId="10" xfId="1" applyNumberFormat="1" applyFont="1" applyBorder="1"/>
    <xf numFmtId="173" fontId="18" fillId="0" borderId="0" xfId="1" applyNumberFormat="1" applyFont="1" applyBorder="1"/>
    <xf numFmtId="9" fontId="0" fillId="0" borderId="0" xfId="1" applyFont="1" applyAlignment="1">
      <alignment horizontal="centerContinuous"/>
    </xf>
    <xf numFmtId="3" fontId="18" fillId="0" borderId="0" xfId="0" applyNumberFormat="1" applyFont="1"/>
    <xf numFmtId="9" fontId="23" fillId="0" borderId="0" xfId="1" applyFont="1"/>
    <xf numFmtId="173" fontId="23" fillId="0" borderId="0" xfId="1" applyNumberFormat="1" applyFont="1"/>
    <xf numFmtId="173" fontId="49" fillId="0" borderId="10" xfId="1" applyNumberFormat="1" applyFont="1" applyBorder="1"/>
    <xf numFmtId="173" fontId="49" fillId="0" borderId="0" xfId="1" applyNumberFormat="1" applyFont="1" applyBorder="1"/>
    <xf numFmtId="37" fontId="2" fillId="0" borderId="14" xfId="0" applyNumberFormat="1" applyFont="1" applyBorder="1"/>
    <xf numFmtId="173" fontId="0" fillId="0" borderId="5" xfId="1" applyNumberFormat="1" applyFont="1" applyBorder="1"/>
    <xf numFmtId="37" fontId="2" fillId="0" borderId="15" xfId="0" applyNumberFormat="1" applyFont="1" applyBorder="1"/>
    <xf numFmtId="37" fontId="2" fillId="0" borderId="27" xfId="0" applyNumberFormat="1" applyFont="1" applyBorder="1"/>
    <xf numFmtId="0" fontId="0" fillId="0" borderId="36" xfId="0" applyBorder="1"/>
    <xf numFmtId="173" fontId="18" fillId="0" borderId="10" xfId="0" applyNumberFormat="1" applyFont="1" applyBorder="1"/>
    <xf numFmtId="173" fontId="42" fillId="0" borderId="28" xfId="7" applyNumberFormat="1" applyFont="1" applyBorder="1"/>
    <xf numFmtId="173" fontId="42" fillId="0" borderId="0" xfId="1" applyNumberFormat="1" applyFont="1" applyFill="1" applyBorder="1" applyProtection="1"/>
    <xf numFmtId="173" fontId="42" fillId="0" borderId="28" xfId="1" applyNumberFormat="1" applyFont="1" applyFill="1" applyBorder="1" applyProtection="1"/>
    <xf numFmtId="173" fontId="42" fillId="0" borderId="31" xfId="1" applyNumberFormat="1" applyFont="1" applyFill="1" applyBorder="1" applyProtection="1"/>
    <xf numFmtId="173" fontId="42" fillId="0" borderId="32" xfId="1" applyNumberFormat="1" applyFont="1" applyFill="1" applyBorder="1" applyProtection="1"/>
    <xf numFmtId="173" fontId="42" fillId="0" borderId="33" xfId="1" applyNumberFormat="1" applyFont="1" applyFill="1" applyBorder="1" applyProtection="1"/>
    <xf numFmtId="173" fontId="42" fillId="0" borderId="34" xfId="1" applyNumberFormat="1" applyFont="1" applyFill="1" applyBorder="1" applyProtection="1"/>
    <xf numFmtId="173" fontId="42" fillId="0" borderId="35" xfId="1" applyNumberFormat="1" applyFont="1" applyFill="1" applyBorder="1" applyProtection="1"/>
    <xf numFmtId="173" fontId="47" fillId="4" borderId="7" xfId="1" applyNumberFormat="1" applyFont="1" applyFill="1" applyBorder="1" applyAlignment="1">
      <alignment vertical="center"/>
    </xf>
    <xf numFmtId="173" fontId="47" fillId="4" borderId="8" xfId="1" applyNumberFormat="1" applyFont="1" applyFill="1" applyBorder="1" applyAlignment="1">
      <alignment vertical="center"/>
    </xf>
    <xf numFmtId="173" fontId="47" fillId="4" borderId="9" xfId="1" applyNumberFormat="1" applyFont="1" applyFill="1" applyBorder="1" applyAlignment="1">
      <alignment vertical="center"/>
    </xf>
    <xf numFmtId="173" fontId="50" fillId="0" borderId="31" xfId="7" applyNumberFormat="1" applyFont="1" applyBorder="1"/>
    <xf numFmtId="173" fontId="50" fillId="0" borderId="0" xfId="7" applyNumberFormat="1" applyFont="1"/>
    <xf numFmtId="173" fontId="50" fillId="0" borderId="32" xfId="7" applyNumberFormat="1" applyFont="1" applyBorder="1"/>
    <xf numFmtId="173" fontId="50" fillId="0" borderId="33" xfId="7" applyNumberFormat="1" applyFont="1" applyBorder="1"/>
    <xf numFmtId="173" fontId="50" fillId="0" borderId="34" xfId="7" applyNumberFormat="1" applyFont="1" applyBorder="1"/>
    <xf numFmtId="173" fontId="50" fillId="0" borderId="35" xfId="7" applyNumberFormat="1" applyFont="1" applyBorder="1"/>
    <xf numFmtId="173" fontId="50" fillId="0" borderId="28" xfId="7" applyNumberFormat="1" applyFont="1" applyBorder="1"/>
    <xf numFmtId="173" fontId="50" fillId="0" borderId="29" xfId="7" applyNumberFormat="1" applyFont="1" applyBorder="1"/>
    <xf numFmtId="173" fontId="50" fillId="0" borderId="30" xfId="7" applyNumberFormat="1" applyFont="1" applyBorder="1"/>
    <xf numFmtId="173" fontId="50" fillId="0" borderId="29" xfId="1" applyNumberFormat="1" applyFont="1" applyFill="1" applyBorder="1" applyProtection="1"/>
    <xf numFmtId="173" fontId="50" fillId="0" borderId="30" xfId="1" applyNumberFormat="1" applyFont="1" applyFill="1" applyBorder="1"/>
    <xf numFmtId="173" fontId="18" fillId="0" borderId="0" xfId="0" applyNumberFormat="1" applyFont="1"/>
    <xf numFmtId="9" fontId="18" fillId="0" borderId="0" xfId="1" applyFont="1" applyBorder="1"/>
    <xf numFmtId="3" fontId="2" fillId="0" borderId="10" xfId="0" applyNumberFormat="1" applyFont="1" applyBorder="1"/>
    <xf numFmtId="3" fontId="2" fillId="0" borderId="14" xfId="0" applyNumberFormat="1" applyFont="1" applyBorder="1"/>
    <xf numFmtId="3" fontId="28" fillId="0" borderId="22" xfId="0" applyNumberFormat="1" applyFont="1" applyBorder="1"/>
    <xf numFmtId="3" fontId="2" fillId="0" borderId="16" xfId="0" applyNumberFormat="1" applyFont="1" applyBorder="1"/>
    <xf numFmtId="3" fontId="2" fillId="0" borderId="17" xfId="0" applyNumberFormat="1" applyFont="1" applyBorder="1"/>
    <xf numFmtId="0" fontId="22" fillId="4" borderId="37" xfId="0" applyFont="1" applyFill="1" applyBorder="1"/>
    <xf numFmtId="0" fontId="0" fillId="0" borderId="37" xfId="0" applyBorder="1"/>
    <xf numFmtId="0" fontId="0" fillId="4" borderId="37" xfId="0" applyFill="1" applyBorder="1"/>
    <xf numFmtId="14" fontId="0" fillId="0" borderId="0" xfId="0" applyNumberFormat="1"/>
    <xf numFmtId="175" fontId="0" fillId="0" borderId="0" xfId="0" applyNumberFormat="1"/>
    <xf numFmtId="3" fontId="0" fillId="0" borderId="37" xfId="0" applyNumberFormat="1" applyBorder="1"/>
    <xf numFmtId="165" fontId="48" fillId="0" borderId="0" xfId="1" applyNumberFormat="1" applyFont="1" applyAlignment="1">
      <alignment horizontal="centerContinuous"/>
    </xf>
    <xf numFmtId="0" fontId="48" fillId="0" borderId="0" xfId="0" applyFont="1" applyAlignment="1">
      <alignment horizontal="centerContinuous"/>
    </xf>
    <xf numFmtId="0" fontId="22" fillId="4" borderId="1" xfId="0" applyFont="1" applyFill="1" applyBorder="1"/>
    <xf numFmtId="181" fontId="0" fillId="0" borderId="0" xfId="0" applyNumberFormat="1"/>
    <xf numFmtId="174" fontId="20" fillId="0" borderId="0" xfId="0" applyNumberFormat="1" applyFont="1" applyAlignment="1">
      <alignment horizontal="centerContinuous"/>
    </xf>
    <xf numFmtId="0" fontId="0" fillId="0" borderId="38" xfId="0" applyBorder="1"/>
    <xf numFmtId="0" fontId="0" fillId="0" borderId="39" xfId="0" applyBorder="1"/>
    <xf numFmtId="0" fontId="0" fillId="0" borderId="40" xfId="0" applyBorder="1"/>
    <xf numFmtId="0" fontId="0" fillId="0" borderId="41" xfId="0" applyBorder="1"/>
    <xf numFmtId="0" fontId="0" fillId="0" borderId="42" xfId="0" applyBorder="1"/>
    <xf numFmtId="3" fontId="24" fillId="0" borderId="43" xfId="0" applyNumberFormat="1" applyFont="1" applyBorder="1"/>
    <xf numFmtId="3" fontId="24" fillId="0" borderId="44" xfId="0" applyNumberFormat="1" applyFont="1" applyBorder="1"/>
    <xf numFmtId="3" fontId="0" fillId="0" borderId="45" xfId="0" applyNumberFormat="1" applyBorder="1"/>
    <xf numFmtId="0" fontId="19" fillId="0" borderId="46" xfId="0" applyFont="1" applyBorder="1" applyAlignment="1">
      <alignment horizontal="centerContinuous"/>
    </xf>
    <xf numFmtId="0" fontId="0" fillId="0" borderId="47" xfId="0" applyBorder="1" applyAlignment="1">
      <alignment horizontal="centerContinuous"/>
    </xf>
    <xf numFmtId="0" fontId="19" fillId="0" borderId="47" xfId="0" applyFont="1" applyBorder="1" applyAlignment="1">
      <alignment horizontal="centerContinuous"/>
    </xf>
    <xf numFmtId="0" fontId="0" fillId="0" borderId="41" xfId="0" applyBorder="1" applyAlignment="1">
      <alignment horizontal="centerContinuous"/>
    </xf>
    <xf numFmtId="0" fontId="0" fillId="0" borderId="48" xfId="0" applyBorder="1" applyAlignment="1">
      <alignment horizontal="centerContinuous"/>
    </xf>
    <xf numFmtId="0" fontId="0" fillId="0" borderId="37" xfId="0" applyBorder="1" applyAlignment="1">
      <alignment horizontal="centerContinuous"/>
    </xf>
    <xf numFmtId="0" fontId="0" fillId="0" borderId="43" xfId="0" applyBorder="1" applyAlignment="1">
      <alignment horizontal="centerContinuous"/>
    </xf>
    <xf numFmtId="0" fontId="0" fillId="0" borderId="44" xfId="0" applyBorder="1" applyAlignment="1">
      <alignment horizontal="centerContinuous"/>
    </xf>
    <xf numFmtId="174" fontId="20" fillId="0" borderId="44" xfId="0" applyNumberFormat="1" applyFont="1" applyBorder="1" applyAlignment="1">
      <alignment horizontal="centerContinuous"/>
    </xf>
    <xf numFmtId="0" fontId="0" fillId="0" borderId="49" xfId="0" applyBorder="1" applyAlignment="1">
      <alignment horizontal="centerContinuous"/>
    </xf>
    <xf numFmtId="0" fontId="24" fillId="0" borderId="0" xfId="0" applyFont="1" applyAlignment="1">
      <alignment horizontal="centerContinuous"/>
    </xf>
    <xf numFmtId="0" fontId="51" fillId="0" borderId="0" xfId="0" applyFont="1" applyAlignment="1">
      <alignment horizontal="centerContinuous"/>
    </xf>
    <xf numFmtId="0" fontId="34" fillId="0" borderId="0" xfId="6" applyFont="1"/>
    <xf numFmtId="0" fontId="35" fillId="0" borderId="0" xfId="6" applyFont="1" applyAlignment="1">
      <alignment horizontal="right"/>
    </xf>
    <xf numFmtId="10" fontId="0" fillId="0" borderId="43" xfId="0" applyNumberFormat="1" applyBorder="1"/>
    <xf numFmtId="10" fontId="0" fillId="0" borderId="44" xfId="0" applyNumberFormat="1" applyBorder="1"/>
    <xf numFmtId="173" fontId="0" fillId="0" borderId="49" xfId="1" applyNumberFormat="1" applyFont="1" applyBorder="1"/>
    <xf numFmtId="0" fontId="0" fillId="0" borderId="50" xfId="0" applyBorder="1"/>
    <xf numFmtId="173" fontId="42" fillId="0" borderId="0" xfId="7" applyNumberFormat="1" applyFont="1"/>
    <xf numFmtId="0" fontId="19" fillId="0" borderId="48" xfId="0" applyFont="1" applyBorder="1" applyAlignment="1">
      <alignment horizontal="centerContinuous"/>
    </xf>
    <xf numFmtId="9" fontId="51" fillId="0" borderId="44" xfId="0" applyNumberFormat="1" applyFont="1" applyBorder="1" applyAlignment="1">
      <alignment horizontal="centerContinuous"/>
    </xf>
    <xf numFmtId="0" fontId="51" fillId="0" borderId="37" xfId="0" applyFont="1" applyBorder="1" applyAlignment="1">
      <alignment horizontal="centerContinuous"/>
    </xf>
    <xf numFmtId="0" fontId="51" fillId="0" borderId="49" xfId="0" applyFont="1" applyBorder="1" applyAlignment="1">
      <alignment horizontal="centerContinuous"/>
    </xf>
    <xf numFmtId="173" fontId="42" fillId="0" borderId="46" xfId="7" applyNumberFormat="1" applyFont="1" applyBorder="1"/>
    <xf numFmtId="173" fontId="42" fillId="0" borderId="47" xfId="7" applyNumberFormat="1" applyFont="1" applyBorder="1"/>
    <xf numFmtId="173" fontId="42" fillId="0" borderId="48" xfId="7" applyNumberFormat="1" applyFont="1" applyBorder="1"/>
    <xf numFmtId="173" fontId="42" fillId="0" borderId="41" xfId="7" applyNumberFormat="1" applyFont="1" applyBorder="1"/>
    <xf numFmtId="173" fontId="42" fillId="0" borderId="37" xfId="7" applyNumberFormat="1" applyFont="1" applyBorder="1"/>
    <xf numFmtId="9" fontId="34" fillId="0" borderId="0" xfId="1" applyFont="1"/>
    <xf numFmtId="173" fontId="42" fillId="0" borderId="43" xfId="7" applyNumberFormat="1" applyFont="1" applyBorder="1"/>
    <xf numFmtId="173" fontId="42" fillId="0" borderId="44" xfId="7" applyNumberFormat="1" applyFont="1" applyBorder="1"/>
    <xf numFmtId="173" fontId="42" fillId="0" borderId="49" xfId="7" applyNumberFormat="1" applyFont="1" applyBorder="1"/>
    <xf numFmtId="1" fontId="2" fillId="0" borderId="0" xfId="0" applyNumberFormat="1" applyFont="1"/>
    <xf numFmtId="173" fontId="18" fillId="0" borderId="41" xfId="1" applyNumberFormat="1" applyFont="1" applyBorder="1"/>
    <xf numFmtId="173" fontId="0" fillId="0" borderId="37" xfId="1" applyNumberFormat="1" applyFont="1" applyBorder="1"/>
    <xf numFmtId="173" fontId="0" fillId="0" borderId="4" xfId="1" applyNumberFormat="1" applyFont="1" applyBorder="1"/>
    <xf numFmtId="173" fontId="2" fillId="0" borderId="0" xfId="1" applyNumberFormat="1" applyFont="1" applyAlignment="1">
      <alignment horizontal="centerContinuous"/>
    </xf>
    <xf numFmtId="173" fontId="0" fillId="0" borderId="0" xfId="0" applyNumberFormat="1"/>
    <xf numFmtId="3" fontId="0" fillId="0" borderId="41" xfId="0" applyNumberFormat="1" applyBorder="1"/>
    <xf numFmtId="173" fontId="0" fillId="0" borderId="10" xfId="0" applyNumberFormat="1" applyBorder="1"/>
    <xf numFmtId="173" fontId="0" fillId="0" borderId="10" xfId="1" applyNumberFormat="1" applyFont="1" applyBorder="1"/>
    <xf numFmtId="173" fontId="0" fillId="0" borderId="51" xfId="1" applyNumberFormat="1" applyFont="1" applyBorder="1"/>
    <xf numFmtId="0" fontId="0" fillId="0" borderId="0" xfId="0" applyAlignment="1">
      <alignment horizontal="centerContinuous" wrapText="1"/>
    </xf>
    <xf numFmtId="1" fontId="2" fillId="0" borderId="10" xfId="0" applyNumberFormat="1" applyFont="1" applyBorder="1"/>
    <xf numFmtId="173" fontId="0" fillId="0" borderId="3" xfId="0" applyNumberFormat="1" applyBorder="1"/>
    <xf numFmtId="173" fontId="0" fillId="0" borderId="11" xfId="1" applyNumberFormat="1" applyFont="1" applyBorder="1"/>
    <xf numFmtId="173" fontId="0" fillId="0" borderId="3" xfId="1" applyNumberFormat="1" applyFont="1" applyBorder="1"/>
    <xf numFmtId="3" fontId="0" fillId="0" borderId="10" xfId="0" applyNumberFormat="1" applyBorder="1"/>
    <xf numFmtId="173" fontId="0" fillId="0" borderId="11" xfId="0" applyNumberFormat="1" applyBorder="1"/>
    <xf numFmtId="3" fontId="52" fillId="0" borderId="16" xfId="0" applyNumberFormat="1" applyFont="1" applyBorder="1"/>
    <xf numFmtId="3" fontId="2" fillId="0" borderId="3" xfId="0" applyNumberFormat="1" applyFont="1" applyBorder="1"/>
    <xf numFmtId="173" fontId="0" fillId="0" borderId="13" xfId="0" applyNumberFormat="1" applyBorder="1"/>
    <xf numFmtId="173" fontId="0" fillId="0" borderId="4" xfId="0" applyNumberFormat="1" applyBorder="1"/>
    <xf numFmtId="0" fontId="0" fillId="0" borderId="28" xfId="0" applyBorder="1"/>
    <xf numFmtId="0" fontId="0" fillId="0" borderId="29" xfId="0" applyBorder="1"/>
    <xf numFmtId="0" fontId="0" fillId="0" borderId="30" xfId="0" applyBorder="1"/>
    <xf numFmtId="10" fontId="0" fillId="0" borderId="52" xfId="0" applyNumberFormat="1" applyBorder="1"/>
    <xf numFmtId="10" fontId="0" fillId="0" borderId="53" xfId="0" applyNumberFormat="1" applyBorder="1"/>
    <xf numFmtId="173" fontId="24" fillId="0" borderId="54" xfId="1" applyNumberFormat="1" applyFont="1" applyBorder="1"/>
    <xf numFmtId="182" fontId="2" fillId="0" borderId="0" xfId="0" applyNumberFormat="1" applyFont="1" applyAlignment="1">
      <alignment horizontal="centerContinuous"/>
    </xf>
    <xf numFmtId="173" fontId="1" fillId="0" borderId="0" xfId="1" applyNumberFormat="1" applyFont="1" applyAlignment="1">
      <alignment horizontal="centerContinuous"/>
    </xf>
    <xf numFmtId="173" fontId="0" fillId="0" borderId="52" xfId="0" applyNumberFormat="1" applyBorder="1"/>
    <xf numFmtId="10" fontId="24" fillId="0" borderId="53" xfId="0" applyNumberFormat="1" applyFont="1" applyBorder="1"/>
    <xf numFmtId="0" fontId="0" fillId="0" borderId="31" xfId="0" applyBorder="1"/>
    <xf numFmtId="3" fontId="0" fillId="0" borderId="31" xfId="0" applyNumberFormat="1" applyBorder="1"/>
    <xf numFmtId="1" fontId="0" fillId="0" borderId="31" xfId="0" applyNumberFormat="1" applyBorder="1"/>
    <xf numFmtId="3" fontId="1" fillId="0" borderId="56" xfId="1" applyNumberFormat="1" applyFont="1" applyBorder="1"/>
    <xf numFmtId="3" fontId="1" fillId="0" borderId="57" xfId="1" applyNumberFormat="1" applyFont="1" applyBorder="1"/>
    <xf numFmtId="173" fontId="18" fillId="0" borderId="31" xfId="1" applyNumberFormat="1" applyFont="1" applyBorder="1"/>
    <xf numFmtId="0" fontId="0" fillId="0" borderId="55" xfId="0" applyBorder="1"/>
    <xf numFmtId="0" fontId="0" fillId="0" borderId="56" xfId="0" applyBorder="1"/>
    <xf numFmtId="173" fontId="1" fillId="0" borderId="56" xfId="1" applyNumberFormat="1" applyFont="1" applyBorder="1"/>
    <xf numFmtId="0" fontId="2" fillId="0" borderId="55" xfId="0" applyFont="1" applyBorder="1"/>
    <xf numFmtId="3" fontId="0" fillId="0" borderId="56" xfId="0" applyNumberFormat="1" applyBorder="1"/>
    <xf numFmtId="3" fontId="0" fillId="0" borderId="57" xfId="0" applyNumberFormat="1" applyBorder="1"/>
    <xf numFmtId="0" fontId="3" fillId="2" borderId="0" xfId="0" applyFont="1" applyFill="1" applyAlignment="1">
      <alignment horizontal="center"/>
    </xf>
    <xf numFmtId="0" fontId="0" fillId="2" borderId="0" xfId="0" applyFill="1" applyAlignment="1">
      <alignment horizontal="center"/>
    </xf>
    <xf numFmtId="0" fontId="6" fillId="2" borderId="0" xfId="0" applyFont="1" applyFill="1" applyAlignment="1">
      <alignment horizontal="center"/>
    </xf>
    <xf numFmtId="0" fontId="4" fillId="2" borderId="0" xfId="0" applyFont="1" applyFill="1" applyAlignment="1">
      <alignment horizontal="center" vertical="center" readingOrder="1"/>
    </xf>
    <xf numFmtId="0" fontId="7" fillId="2" borderId="0" xfId="0" applyFont="1" applyFill="1" applyAlignment="1">
      <alignment horizontal="center"/>
    </xf>
    <xf numFmtId="173" fontId="0" fillId="0" borderId="20" xfId="1" applyNumberFormat="1" applyFont="1" applyBorder="1"/>
    <xf numFmtId="9" fontId="24" fillId="0" borderId="20" xfId="0" applyNumberFormat="1" applyFont="1" applyBorder="1"/>
    <xf numFmtId="4" fontId="0" fillId="0" borderId="0" xfId="1" applyNumberFormat="1" applyFont="1"/>
    <xf numFmtId="0" fontId="0" fillId="0" borderId="0" xfId="0" applyBorder="1"/>
    <xf numFmtId="0" fontId="2" fillId="0" borderId="7" xfId="0" applyFont="1" applyBorder="1"/>
    <xf numFmtId="0" fontId="2" fillId="0" borderId="8" xfId="0" applyFont="1" applyBorder="1"/>
    <xf numFmtId="3" fontId="2" fillId="0" borderId="8" xfId="0" applyNumberFormat="1" applyFont="1" applyBorder="1"/>
    <xf numFmtId="3" fontId="2" fillId="0" borderId="9" xfId="0" applyNumberFormat="1" applyFont="1" applyBorder="1"/>
    <xf numFmtId="0" fontId="24" fillId="0" borderId="22" xfId="0" applyFont="1" applyBorder="1"/>
    <xf numFmtId="0" fontId="0" fillId="0" borderId="8" xfId="0" applyBorder="1"/>
    <xf numFmtId="185" fontId="0" fillId="0" borderId="9" xfId="0" applyNumberFormat="1" applyBorder="1"/>
    <xf numFmtId="188" fontId="0" fillId="0" borderId="20" xfId="0" applyNumberFormat="1" applyBorder="1"/>
    <xf numFmtId="2" fontId="0" fillId="0" borderId="3" xfId="0" applyNumberFormat="1" applyBorder="1"/>
    <xf numFmtId="2" fontId="0" fillId="0" borderId="0" xfId="1" applyNumberFormat="1" applyFont="1"/>
    <xf numFmtId="2" fontId="2" fillId="0" borderId="4" xfId="0" applyNumberFormat="1" applyFont="1" applyBorder="1"/>
    <xf numFmtId="4" fontId="0" fillId="0" borderId="0" xfId="0" applyNumberFormat="1"/>
    <xf numFmtId="4" fontId="0" fillId="0" borderId="4" xfId="0" applyNumberFormat="1" applyBorder="1"/>
  </cellXfs>
  <cellStyles count="10">
    <cellStyle name="Comma 2" xfId="5" xr:uid="{94A5B129-2AE6-4283-97DF-EC6318F6342C}"/>
    <cellStyle name="Comma 3" xfId="8" xr:uid="{BCA87599-ADF6-4902-A4EE-663BBD40C100}"/>
    <cellStyle name="Normal" xfId="0" builtinId="0"/>
    <cellStyle name="Normal 2" xfId="2" xr:uid="{64A2C246-1849-423C-B324-DC432588DF16}"/>
    <cellStyle name="Normal 3" xfId="3" xr:uid="{6DFBC25A-7ACB-448C-A2FD-D93802C5E872}"/>
    <cellStyle name="Normal 4" xfId="7" xr:uid="{E1C447D3-4BCE-45AD-9794-FC0A6B6FA251}"/>
    <cellStyle name="Normal_TrainingDCF1" xfId="6" xr:uid="{ADA756D2-136E-4019-9238-F39056C4A542}"/>
    <cellStyle name="Percent" xfId="1" builtinId="5"/>
    <cellStyle name="Percent 2" xfId="4" xr:uid="{D0C2448F-3D06-4D21-8E52-F91E5A7D4787}"/>
    <cellStyle name="Percent 3" xfId="9" xr:uid="{AD539F70-669E-47A9-B989-43B4D8ACF446}"/>
  </cellStyles>
  <dxfs count="1">
    <dxf>
      <font>
        <b/>
        <i val="0"/>
        <condense val="0"/>
        <extend val="0"/>
      </font>
      <fill>
        <patternFill>
          <bgColor indexed="44"/>
        </patternFill>
      </fill>
    </dxf>
  </dxfs>
  <tableStyles count="0" defaultTableStyle="TableStyleMedium2" defaultPivotStyle="PivotStyleLight16"/>
  <colors>
    <mruColors>
      <color rgb="FF105496"/>
      <color rgb="FF103A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microsoft.com/office/2017/06/relationships/rdRichValue" Target="richData/rdrichvalue.xml"/><Relationship Id="rId3" Type="http://schemas.openxmlformats.org/officeDocument/2006/relationships/worksheet" Target="worksheets/sheet3.xml"/><Relationship Id="rId21" Type="http://schemas.microsoft.com/office/2017/06/relationships/rdSupportingPropertyBagStructure" Target="richData/rdsupportingpropertybagstructure.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eetMetadata" Target="metadata.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ichStyles" Target="richData/rich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styles" Target="styles.xml"/><Relationship Id="rId23" Type="http://schemas.microsoft.com/office/2017/06/relationships/rdRichValueTypes" Target="richData/rdRichValueTypes.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microsoft.com/office/2017/06/relationships/rdSupportingPropertyBag" Target="richData/rdsupportingpropertybag.xml"/></Relationships>
</file>

<file path=xl/ctrlProps/ctrlProp1.xml><?xml version="1.0" encoding="utf-8"?>
<formControlPr xmlns="http://schemas.microsoft.com/office/spreadsheetml/2009/9/main" objectType="Drop" dropStyle="combo" dx="26" fmlaLink="$D$6" fmlaRange="$C$14:$C$16" noThreeD="1" sel="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1249680</xdr:colOff>
          <xdr:row>4</xdr:row>
          <xdr:rowOff>60960</xdr:rowOff>
        </xdr:from>
        <xdr:to>
          <xdr:col>4</xdr:col>
          <xdr:colOff>22860</xdr:colOff>
          <xdr:row>6</xdr:row>
          <xdr:rowOff>22860</xdr:rowOff>
        </xdr:to>
        <xdr:sp macro="" textlink="">
          <xdr:nvSpPr>
            <xdr:cNvPr id="17409" name="Drop Down 1" hidden="1">
              <a:extLst>
                <a:ext uri="{63B3BB69-23CF-44E3-9099-C40C66FF867C}">
                  <a14:compatExt spid="_x0000_s17409"/>
                </a:ext>
                <a:ext uri="{FF2B5EF4-FFF2-40B4-BE49-F238E27FC236}">
                  <a16:creationId xmlns:a16="http://schemas.microsoft.com/office/drawing/2014/main" id="{00000000-0008-0000-0400-000001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63051</xdr:colOff>
      <xdr:row>29</xdr:row>
      <xdr:rowOff>107598</xdr:rowOff>
    </xdr:from>
    <xdr:to>
      <xdr:col>23</xdr:col>
      <xdr:colOff>350745</xdr:colOff>
      <xdr:row>46</xdr:row>
      <xdr:rowOff>47567</xdr:rowOff>
    </xdr:to>
    <xdr:sp macro="" textlink="">
      <xdr:nvSpPr>
        <xdr:cNvPr id="2" name="TextBox 1">
          <a:extLst>
            <a:ext uri="{FF2B5EF4-FFF2-40B4-BE49-F238E27FC236}">
              <a16:creationId xmlns:a16="http://schemas.microsoft.com/office/drawing/2014/main" id="{4724E851-89F4-C83A-696D-79F346598DB3}"/>
            </a:ext>
          </a:extLst>
        </xdr:cNvPr>
        <xdr:cNvSpPr txBox="1"/>
      </xdr:nvSpPr>
      <xdr:spPr>
        <a:xfrm>
          <a:off x="6808625" y="5554024"/>
          <a:ext cx="6646022" cy="31628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Revenue Build workflow:</a:t>
          </a:r>
        </a:p>
        <a:p>
          <a:endParaRPr lang="en-GB" sz="1100"/>
        </a:p>
        <a:p>
          <a:r>
            <a:rPr lang="en-GB" sz="1100"/>
            <a:t>Net Sales = N.A.</a:t>
          </a:r>
          <a:r>
            <a:rPr lang="en-GB" sz="1100" baseline="0"/>
            <a:t> Stores + DTC + International</a:t>
          </a:r>
        </a:p>
        <a:p>
          <a:endParaRPr lang="en-GB" sz="1100" baseline="0"/>
        </a:p>
        <a:p>
          <a:r>
            <a:rPr lang="en-GB" sz="1100" baseline="0"/>
            <a:t>Driver of N.A. Stores is number of stores -- therefore NA Store Revenue = Total NA Stores * Sales per Average Store</a:t>
          </a:r>
        </a:p>
        <a:p>
          <a:endParaRPr lang="en-GB" sz="1100" baseline="0"/>
        </a:p>
        <a:p>
          <a:r>
            <a:rPr lang="en-GB" sz="1100" baseline="0"/>
            <a:t>Direct Sales (DTC) is triangulated. For N.A. using U.S. total revenue (assume NA total revenue by estimating Canadian revenue)</a:t>
          </a:r>
        </a:p>
        <a:p>
          <a:r>
            <a:rPr lang="en-GB" sz="1100" baseline="0"/>
            <a:t>- then for International DTC sales,</a:t>
          </a:r>
        </a:p>
        <a:p>
          <a:endParaRPr lang="en-GB" sz="1100" baseline="0"/>
        </a:p>
        <a:p>
          <a:r>
            <a:rPr lang="en-GB" sz="1100" baseline="0"/>
            <a:t>Growth of each carried forward for next 5 years</a:t>
          </a:r>
        </a:p>
        <a:p>
          <a:endParaRPr lang="en-GB" sz="1100" baseline="0"/>
        </a:p>
        <a:p>
          <a:r>
            <a:rPr lang="en-GB" sz="1100" baseline="0"/>
            <a:t>There are three types of Victoria's Secret stores: company-operated, partner-operated, and joint-venture</a:t>
          </a:r>
        </a:p>
      </xdr:txBody>
    </xdr:sp>
    <xdr:clientData/>
  </xdr:twoCellAnchor>
  <xdr:twoCellAnchor>
    <xdr:from>
      <xdr:col>2</xdr:col>
      <xdr:colOff>17319</xdr:colOff>
      <xdr:row>68</xdr:row>
      <xdr:rowOff>43295</xdr:rowOff>
    </xdr:from>
    <xdr:to>
      <xdr:col>7</xdr:col>
      <xdr:colOff>268432</xdr:colOff>
      <xdr:row>73</xdr:row>
      <xdr:rowOff>0</xdr:rowOff>
    </xdr:to>
    <xdr:sp macro="" textlink="">
      <xdr:nvSpPr>
        <xdr:cNvPr id="3" name="TextBox 2">
          <a:extLst>
            <a:ext uri="{FF2B5EF4-FFF2-40B4-BE49-F238E27FC236}">
              <a16:creationId xmlns:a16="http://schemas.microsoft.com/office/drawing/2014/main" id="{1DAD7C3F-8D98-5A17-E89B-9686740898EE}"/>
            </a:ext>
          </a:extLst>
        </xdr:cNvPr>
        <xdr:cNvSpPr txBox="1"/>
      </xdr:nvSpPr>
      <xdr:spPr>
        <a:xfrm>
          <a:off x="753342" y="11819659"/>
          <a:ext cx="4727863" cy="8659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t>'The Company’s international net sales include sales from Company-operated stores, royalty revenue from franchise and license arrangements, wholesale revenues and direct sales shipped internationally. Certain of these sales are subject to the impact of fluctuations in foreign currency.' 10-k p. 63</a:t>
          </a:r>
          <a:endParaRPr lang="en-GB" sz="1100"/>
        </a:p>
      </xdr:txBody>
    </xdr:sp>
    <xdr:clientData/>
  </xdr:twoCellAnchor>
  <xdr:twoCellAnchor>
    <xdr:from>
      <xdr:col>25</xdr:col>
      <xdr:colOff>35719</xdr:colOff>
      <xdr:row>29</xdr:row>
      <xdr:rowOff>130969</xdr:rowOff>
    </xdr:from>
    <xdr:to>
      <xdr:col>30</xdr:col>
      <xdr:colOff>35718</xdr:colOff>
      <xdr:row>35</xdr:row>
      <xdr:rowOff>95250</xdr:rowOff>
    </xdr:to>
    <xdr:sp macro="" textlink="">
      <xdr:nvSpPr>
        <xdr:cNvPr id="4" name="TextBox 3">
          <a:extLst>
            <a:ext uri="{FF2B5EF4-FFF2-40B4-BE49-F238E27FC236}">
              <a16:creationId xmlns:a16="http://schemas.microsoft.com/office/drawing/2014/main" id="{C36DB670-673B-A2F8-8F8C-BF7EDBEE9342}"/>
            </a:ext>
          </a:extLst>
        </xdr:cNvPr>
        <xdr:cNvSpPr txBox="1"/>
      </xdr:nvSpPr>
      <xdr:spPr>
        <a:xfrm>
          <a:off x="13311188" y="5024438"/>
          <a:ext cx="3417093" cy="10596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Revenue Drivers</a:t>
          </a:r>
        </a:p>
        <a:p>
          <a:r>
            <a:rPr lang="en-GB" sz="1100"/>
            <a:t>For</a:t>
          </a:r>
          <a:r>
            <a:rPr lang="en-GB" sz="1100" baseline="0"/>
            <a:t> stores: Revenue = Avg. Stores x Sales per Store</a:t>
          </a:r>
        </a:p>
        <a:p>
          <a:endParaRPr lang="en-GB" sz="1100"/>
        </a:p>
        <a:p>
          <a:r>
            <a:rPr lang="en-GB" sz="1100"/>
            <a:t>For</a:t>
          </a:r>
          <a:r>
            <a:rPr lang="en-GB" sz="1100" baseline="0"/>
            <a:t> Direct: Revenue = Prior Revenue x Growth</a:t>
          </a:r>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22860</xdr:colOff>
      <xdr:row>32</xdr:row>
      <xdr:rowOff>57150</xdr:rowOff>
    </xdr:from>
    <xdr:to>
      <xdr:col>5</xdr:col>
      <xdr:colOff>350520</xdr:colOff>
      <xdr:row>37</xdr:row>
      <xdr:rowOff>57150</xdr:rowOff>
    </xdr:to>
    <xdr:sp macro="" textlink="">
      <xdr:nvSpPr>
        <xdr:cNvPr id="2" name="TextBox 1">
          <a:extLst>
            <a:ext uri="{FF2B5EF4-FFF2-40B4-BE49-F238E27FC236}">
              <a16:creationId xmlns:a16="http://schemas.microsoft.com/office/drawing/2014/main" id="{58ECB430-B6E9-45D5-6E5C-58DB421063D5}"/>
            </a:ext>
          </a:extLst>
        </xdr:cNvPr>
        <xdr:cNvSpPr txBox="1"/>
      </xdr:nvSpPr>
      <xdr:spPr>
        <a:xfrm>
          <a:off x="152400" y="5909310"/>
          <a:ext cx="419862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Scenarios:</a:t>
          </a:r>
        </a:p>
        <a:p>
          <a:r>
            <a:rPr lang="en-GB" sz="1100"/>
            <a:t>Base</a:t>
          </a:r>
          <a:r>
            <a:rPr lang="en-GB" sz="1100" baseline="0"/>
            <a:t>: flatlined EBIT Margin at 5%, as has been FY2023-2025</a:t>
          </a:r>
        </a:p>
        <a:p>
          <a:r>
            <a:rPr lang="en-GB" sz="1100" baseline="0"/>
            <a:t>Bull: higher margin business segments/items growth (examples____)</a:t>
          </a:r>
        </a:p>
        <a:p>
          <a:r>
            <a:rPr lang="en-GB" sz="1100" baseline="0"/>
            <a:t>Bear: erosion of pricing power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QHYD\fileserver\Users\yjanam\AppData\Local\Capital%20IQ\Office%20Plug-in\Templates\Charts\+Custom%20Index%20Char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QHYD\fileserver\Users\klafrance\AppData\Local\Microsoft\Windows\Temporary%20Internet%20Files\Content.Outlook\T93X222U\WACC_8L_vTest_Coupon.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louis\AppData\Local\Capital%20IQ\Office%20Plug-in\Templates\Valuation\DCF.xls" TargetMode="External"/><Relationship Id="rId1" Type="http://schemas.openxmlformats.org/officeDocument/2006/relationships/externalLinkPath" Target="file:///C:\Users\louis\AppData\Local\Capital%20IQ\Office%20Plug-in\Templates\Valuation\DCF.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ustom Index"/>
      <sheetName val="Chart Data"/>
      <sheetName val="Index Data"/>
      <sheetName val="Chart Data (Multiples)"/>
      <sheetName val="Index Data (Multiples)"/>
      <sheetName val="Multiples"/>
    </sheetNames>
    <sheetDataSet>
      <sheetData sheetId="0"/>
      <sheetData sheetId="1"/>
      <sheetData sheetId="2"/>
      <sheetData sheetId="3">
        <row r="14">
          <cell r="A14">
            <v>42993</v>
          </cell>
        </row>
        <row r="15">
          <cell r="A15">
            <v>43000</v>
          </cell>
        </row>
        <row r="16">
          <cell r="A16">
            <v>43007</v>
          </cell>
        </row>
        <row r="17">
          <cell r="A17">
            <v>43014</v>
          </cell>
        </row>
        <row r="18">
          <cell r="A18">
            <v>43021</v>
          </cell>
        </row>
        <row r="19">
          <cell r="A19">
            <v>43028</v>
          </cell>
        </row>
        <row r="20">
          <cell r="A20">
            <v>43035</v>
          </cell>
        </row>
        <row r="21">
          <cell r="A21">
            <v>43042</v>
          </cell>
        </row>
        <row r="22">
          <cell r="A22">
            <v>43049</v>
          </cell>
        </row>
        <row r="23">
          <cell r="A23">
            <v>43056</v>
          </cell>
        </row>
        <row r="24">
          <cell r="A24">
            <v>43063</v>
          </cell>
        </row>
        <row r="25">
          <cell r="A25">
            <v>43070</v>
          </cell>
        </row>
        <row r="26">
          <cell r="A26">
            <v>43077</v>
          </cell>
        </row>
        <row r="27">
          <cell r="A27">
            <v>43084</v>
          </cell>
        </row>
        <row r="28">
          <cell r="A28">
            <v>43091</v>
          </cell>
        </row>
        <row r="29">
          <cell r="A29">
            <v>43098</v>
          </cell>
        </row>
        <row r="30">
          <cell r="A30">
            <v>43105</v>
          </cell>
        </row>
        <row r="31">
          <cell r="A31">
            <v>43112</v>
          </cell>
        </row>
        <row r="32">
          <cell r="A32">
            <v>43119</v>
          </cell>
        </row>
        <row r="33">
          <cell r="A33">
            <v>43126</v>
          </cell>
        </row>
        <row r="34">
          <cell r="A34">
            <v>43133</v>
          </cell>
        </row>
        <row r="35">
          <cell r="A35">
            <v>43140</v>
          </cell>
        </row>
        <row r="36">
          <cell r="A36">
            <v>43147</v>
          </cell>
        </row>
        <row r="37">
          <cell r="A37">
            <v>43154</v>
          </cell>
        </row>
        <row r="38">
          <cell r="A38">
            <v>43161</v>
          </cell>
        </row>
        <row r="39">
          <cell r="A39">
            <v>43168</v>
          </cell>
        </row>
        <row r="40">
          <cell r="A40">
            <v>43175</v>
          </cell>
        </row>
        <row r="41">
          <cell r="A41">
            <v>43182</v>
          </cell>
        </row>
        <row r="42">
          <cell r="A42">
            <v>43188</v>
          </cell>
        </row>
        <row r="43">
          <cell r="A43">
            <v>43196</v>
          </cell>
        </row>
        <row r="44">
          <cell r="A44">
            <v>43203</v>
          </cell>
        </row>
        <row r="45">
          <cell r="A45">
            <v>43210</v>
          </cell>
        </row>
        <row r="46">
          <cell r="A46">
            <v>43217</v>
          </cell>
        </row>
        <row r="47">
          <cell r="A47">
            <v>43224</v>
          </cell>
        </row>
        <row r="48">
          <cell r="A48">
            <v>43231</v>
          </cell>
        </row>
        <row r="49">
          <cell r="A49">
            <v>43238</v>
          </cell>
        </row>
        <row r="50">
          <cell r="A50">
            <v>43245</v>
          </cell>
        </row>
        <row r="51">
          <cell r="A51">
            <v>43252</v>
          </cell>
        </row>
        <row r="52">
          <cell r="A52">
            <v>43259</v>
          </cell>
        </row>
        <row r="53">
          <cell r="A53">
            <v>43266</v>
          </cell>
        </row>
        <row r="54">
          <cell r="A54">
            <v>43273</v>
          </cell>
        </row>
        <row r="55">
          <cell r="A55">
            <v>43280</v>
          </cell>
        </row>
        <row r="56">
          <cell r="A56">
            <v>43287</v>
          </cell>
        </row>
        <row r="57">
          <cell r="A57">
            <v>43294</v>
          </cell>
        </row>
        <row r="58">
          <cell r="A58">
            <v>43301</v>
          </cell>
        </row>
        <row r="59">
          <cell r="A59">
            <v>43308</v>
          </cell>
        </row>
        <row r="60">
          <cell r="A60">
            <v>43315</v>
          </cell>
        </row>
        <row r="61">
          <cell r="A61">
            <v>43322</v>
          </cell>
        </row>
        <row r="62">
          <cell r="A62">
            <v>43329</v>
          </cell>
        </row>
        <row r="63">
          <cell r="A63">
            <v>43336</v>
          </cell>
        </row>
        <row r="64">
          <cell r="A64">
            <v>43343</v>
          </cell>
        </row>
        <row r="65">
          <cell r="A65">
            <v>43350</v>
          </cell>
        </row>
        <row r="66">
          <cell r="A66">
            <v>43622</v>
          </cell>
        </row>
      </sheetData>
      <sheetData sheetId="4"/>
      <sheetData sheetId="5"/>
      <sheetData sheetId="6">
        <row r="14">
          <cell r="F14">
            <v>42993</v>
          </cell>
        </row>
        <row r="15">
          <cell r="F15">
            <v>43000</v>
          </cell>
        </row>
        <row r="16">
          <cell r="F16">
            <v>43007</v>
          </cell>
        </row>
        <row r="17">
          <cell r="F17">
            <v>43014</v>
          </cell>
        </row>
        <row r="18">
          <cell r="F18">
            <v>43021</v>
          </cell>
        </row>
        <row r="19">
          <cell r="F19">
            <v>43028</v>
          </cell>
        </row>
        <row r="20">
          <cell r="F20">
            <v>43035</v>
          </cell>
        </row>
        <row r="21">
          <cell r="F21">
            <v>43042</v>
          </cell>
        </row>
        <row r="22">
          <cell r="F22">
            <v>43049</v>
          </cell>
        </row>
        <row r="23">
          <cell r="F23">
            <v>43056</v>
          </cell>
        </row>
        <row r="24">
          <cell r="F24">
            <v>43063</v>
          </cell>
        </row>
        <row r="25">
          <cell r="F25">
            <v>43070</v>
          </cell>
        </row>
        <row r="26">
          <cell r="F26">
            <v>43077</v>
          </cell>
        </row>
        <row r="27">
          <cell r="F27">
            <v>43084</v>
          </cell>
        </row>
        <row r="28">
          <cell r="F28">
            <v>43091</v>
          </cell>
        </row>
        <row r="29">
          <cell r="F29">
            <v>43098</v>
          </cell>
        </row>
        <row r="30">
          <cell r="F30">
            <v>43105</v>
          </cell>
        </row>
        <row r="31">
          <cell r="F31">
            <v>43112</v>
          </cell>
        </row>
        <row r="32">
          <cell r="F32">
            <v>43119</v>
          </cell>
        </row>
        <row r="33">
          <cell r="F33">
            <v>43126</v>
          </cell>
        </row>
        <row r="34">
          <cell r="F34">
            <v>43133</v>
          </cell>
        </row>
        <row r="35">
          <cell r="F35">
            <v>43140</v>
          </cell>
        </row>
        <row r="36">
          <cell r="F36">
            <v>43147</v>
          </cell>
        </row>
        <row r="37">
          <cell r="F37">
            <v>43154</v>
          </cell>
        </row>
        <row r="38">
          <cell r="F38">
            <v>43161</v>
          </cell>
        </row>
        <row r="39">
          <cell r="F39">
            <v>43168</v>
          </cell>
        </row>
        <row r="40">
          <cell r="F40">
            <v>43175</v>
          </cell>
        </row>
        <row r="41">
          <cell r="F41">
            <v>43182</v>
          </cell>
        </row>
        <row r="42">
          <cell r="F42">
            <v>43188</v>
          </cell>
        </row>
        <row r="43">
          <cell r="F43">
            <v>43196</v>
          </cell>
        </row>
        <row r="44">
          <cell r="F44">
            <v>43203</v>
          </cell>
        </row>
        <row r="45">
          <cell r="F45">
            <v>43210</v>
          </cell>
        </row>
        <row r="46">
          <cell r="F46">
            <v>43217</v>
          </cell>
        </row>
        <row r="47">
          <cell r="F47">
            <v>43224</v>
          </cell>
        </row>
        <row r="48">
          <cell r="F48">
            <v>43231</v>
          </cell>
        </row>
        <row r="49">
          <cell r="F49">
            <v>43238</v>
          </cell>
        </row>
        <row r="50">
          <cell r="F50">
            <v>43245</v>
          </cell>
        </row>
        <row r="51">
          <cell r="F51">
            <v>43252</v>
          </cell>
        </row>
        <row r="52">
          <cell r="F52">
            <v>43259</v>
          </cell>
        </row>
        <row r="53">
          <cell r="F53">
            <v>43266</v>
          </cell>
        </row>
        <row r="54">
          <cell r="F54">
            <v>43273</v>
          </cell>
        </row>
        <row r="55">
          <cell r="F55">
            <v>43280</v>
          </cell>
        </row>
        <row r="56">
          <cell r="F56">
            <v>43287</v>
          </cell>
        </row>
        <row r="57">
          <cell r="F57">
            <v>43294</v>
          </cell>
        </row>
        <row r="58">
          <cell r="F58">
            <v>43301</v>
          </cell>
        </row>
        <row r="59">
          <cell r="F59">
            <v>43308</v>
          </cell>
        </row>
        <row r="60">
          <cell r="F60">
            <v>43315</v>
          </cell>
        </row>
        <row r="61">
          <cell r="F61">
            <v>43322</v>
          </cell>
        </row>
        <row r="62">
          <cell r="F62">
            <v>43329</v>
          </cell>
        </row>
        <row r="63">
          <cell r="F63">
            <v>43336</v>
          </cell>
        </row>
        <row r="64">
          <cell r="F64">
            <v>43343</v>
          </cell>
        </row>
        <row r="65">
          <cell r="F65">
            <v>43350</v>
          </cell>
        </row>
        <row r="66">
          <cell r="F66"/>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CC Analysis"/>
      <sheetName val="Lanugage Index"/>
    </sheetNames>
    <sheetDataSet>
      <sheetData sheetId="0">
        <row r="13">
          <cell r="BK13" t="str">
            <v>IQT206689903</v>
          </cell>
          <cell r="BS13" t="str">
            <v>IQT238088203</v>
          </cell>
        </row>
        <row r="14">
          <cell r="BK14" t="str">
            <v>IQT326324420</v>
          </cell>
          <cell r="BS14" t="str">
            <v>IQT206689903</v>
          </cell>
        </row>
        <row r="15">
          <cell r="BK15" t="str">
            <v>IQT536641111</v>
          </cell>
          <cell r="BS15" t="str">
            <v>IQT326324420</v>
          </cell>
        </row>
        <row r="16">
          <cell r="BK16" t="str">
            <v>IQT537072568</v>
          </cell>
          <cell r="BS16" t="str">
            <v>IQT207940519</v>
          </cell>
        </row>
        <row r="17">
          <cell r="BK17" t="str">
            <v>IQT14192981</v>
          </cell>
          <cell r="BS17" t="str">
            <v>IQT232758384</v>
          </cell>
        </row>
        <row r="18">
          <cell r="BK18" t="str">
            <v>IQT224201770</v>
          </cell>
          <cell r="BS18" t="str">
            <v>IQT237631551</v>
          </cell>
        </row>
        <row r="19">
          <cell r="BK19" t="str">
            <v>IQT418181111</v>
          </cell>
          <cell r="BS19" t="str">
            <v>IQT262923156</v>
          </cell>
        </row>
        <row r="20">
          <cell r="BK20" t="str">
            <v>IQT418181112</v>
          </cell>
          <cell r="BS20" t="str">
            <v>IQT536641111</v>
          </cell>
        </row>
        <row r="21">
          <cell r="BK21" t="str">
            <v>IQT238088264</v>
          </cell>
          <cell r="BS21" t="str">
            <v>IQT537072568</v>
          </cell>
        </row>
        <row r="22">
          <cell r="BK22" t="str">
            <v>IQT207415981</v>
          </cell>
          <cell r="BS22" t="str">
            <v>IQT14192981</v>
          </cell>
        </row>
        <row r="23">
          <cell r="BK23" t="str">
            <v>IQT208420857</v>
          </cell>
          <cell r="BS23" t="str">
            <v>IQT224201770</v>
          </cell>
        </row>
        <row r="24">
          <cell r="BK24" t="str">
            <v>IQT208420858</v>
          </cell>
          <cell r="BS24" t="str">
            <v>IQT418181111</v>
          </cell>
        </row>
        <row r="25">
          <cell r="BK25" t="str">
            <v>IQT276385503</v>
          </cell>
          <cell r="BS25" t="str">
            <v>IQT418181112</v>
          </cell>
        </row>
        <row r="26">
          <cell r="BK26" t="str">
            <v>IQT249868656</v>
          </cell>
          <cell r="BS26" t="str">
            <v>IQT238088264</v>
          </cell>
        </row>
        <row r="27">
          <cell r="BK27" t="str">
            <v>IQT593181966</v>
          </cell>
          <cell r="BS27" t="str">
            <v>IQT207415981</v>
          </cell>
        </row>
        <row r="28">
          <cell r="BK28" t="str">
            <v>IQT593460098</v>
          </cell>
          <cell r="BS28" t="str">
            <v>IQT208420857</v>
          </cell>
        </row>
        <row r="29">
          <cell r="BK29" t="str">
            <v>IQT250783299</v>
          </cell>
          <cell r="BS29" t="str">
            <v>IQT208420858</v>
          </cell>
        </row>
        <row r="30">
          <cell r="BK30" t="str">
            <v>IQT536641112</v>
          </cell>
          <cell r="BS30" t="str">
            <v>IQT276385503</v>
          </cell>
        </row>
        <row r="31">
          <cell r="BK31" t="str">
            <v>IQT536941222</v>
          </cell>
          <cell r="BS31" t="str">
            <v>IQT249868656</v>
          </cell>
        </row>
        <row r="32">
          <cell r="BK32" t="str">
            <v>IQT552029886</v>
          </cell>
          <cell r="BS32" t="str">
            <v>IQT593181966</v>
          </cell>
        </row>
        <row r="33">
          <cell r="BK33" t="str">
            <v>IQT552181948</v>
          </cell>
          <cell r="BS33" t="str">
            <v>IQT593460098</v>
          </cell>
        </row>
        <row r="34">
          <cell r="BK34" t="str">
            <v>IQT325938605</v>
          </cell>
          <cell r="BS34" t="str">
            <v>IQT241710229</v>
          </cell>
        </row>
        <row r="35">
          <cell r="BK35" t="str">
            <v>IQT327208231</v>
          </cell>
          <cell r="BS35" t="str">
            <v>IQT250783299</v>
          </cell>
        </row>
        <row r="36">
          <cell r="BK36" t="str">
            <v>IQT142320684</v>
          </cell>
          <cell r="BS36" t="str">
            <v>IQT536641112</v>
          </cell>
        </row>
        <row r="37">
          <cell r="BK37" t="str">
            <v>IQT275933443</v>
          </cell>
          <cell r="BS37" t="str">
            <v>IQT536941222</v>
          </cell>
        </row>
        <row r="38">
          <cell r="BK38" t="str">
            <v>IQT592909340</v>
          </cell>
          <cell r="BS38" t="str">
            <v>IQT552029886</v>
          </cell>
        </row>
        <row r="39">
          <cell r="BK39" t="str">
            <v>IQT593181965</v>
          </cell>
          <cell r="BS39" t="str">
            <v>IQT552181948</v>
          </cell>
        </row>
        <row r="40">
          <cell r="BK40" t="str">
            <v>IQT418181113</v>
          </cell>
          <cell r="BS40" t="str">
            <v>IQT325938605</v>
          </cell>
        </row>
        <row r="41">
          <cell r="BK41" t="str">
            <v>IQT214793649</v>
          </cell>
          <cell r="BS41" t="str">
            <v>IQT327208231</v>
          </cell>
        </row>
        <row r="42">
          <cell r="BK42" t="str">
            <v>IQT308370819</v>
          </cell>
          <cell r="BS42" t="str">
            <v>IQT142320684</v>
          </cell>
        </row>
        <row r="43">
          <cell r="BK43" t="str">
            <v>IQT536641113</v>
          </cell>
          <cell r="BS43" t="str">
            <v>IQT275933443</v>
          </cell>
        </row>
        <row r="44">
          <cell r="BK44" t="str">
            <v>IQT316443307</v>
          </cell>
          <cell r="BS44" t="str">
            <v>IQT592909340</v>
          </cell>
        </row>
        <row r="45">
          <cell r="BK45" t="str">
            <v>IQT599859209</v>
          </cell>
          <cell r="BS45" t="str">
            <v>IQT593181965</v>
          </cell>
        </row>
        <row r="46">
          <cell r="BK46" t="str">
            <v>IQT551585782</v>
          </cell>
          <cell r="BS46" t="str">
            <v>IQT418181113</v>
          </cell>
        </row>
        <row r="47">
          <cell r="BK47" t="str">
            <v>IQT278092126</v>
          </cell>
          <cell r="BS47" t="str">
            <v>IQT214793649</v>
          </cell>
        </row>
        <row r="48">
          <cell r="BK48" t="str">
            <v>IQT243884094</v>
          </cell>
          <cell r="BS48" t="str">
            <v>IQT308370819</v>
          </cell>
        </row>
        <row r="49">
          <cell r="BK49" t="str">
            <v>IQT256532296</v>
          </cell>
          <cell r="BS49" t="str">
            <v>IQT536641113</v>
          </cell>
        </row>
        <row r="50">
          <cell r="BK50" t="str">
            <v>IQT327208227</v>
          </cell>
          <cell r="BS50" t="str">
            <v>IQT316443307</v>
          </cell>
        </row>
        <row r="51">
          <cell r="BK51" t="str">
            <v>IQT597828042</v>
          </cell>
          <cell r="BS51" t="str">
            <v>IQT599859209</v>
          </cell>
        </row>
        <row r="52">
          <cell r="BK52" t="str">
            <v>IQT431262775</v>
          </cell>
          <cell r="BS52" t="str">
            <v>IQT551585782</v>
          </cell>
        </row>
        <row r="53">
          <cell r="BK53" t="str">
            <v>IQT40743916</v>
          </cell>
          <cell r="BS53" t="str">
            <v>IQT278092126</v>
          </cell>
        </row>
        <row r="54">
          <cell r="BK54" t="str">
            <v>IQT249868658</v>
          </cell>
          <cell r="BS54" t="str">
            <v>IQT243884094</v>
          </cell>
        </row>
        <row r="55">
          <cell r="BK55" t="str">
            <v>IQT326324421</v>
          </cell>
          <cell r="BS55" t="str">
            <v>IQT256532296</v>
          </cell>
        </row>
        <row r="56">
          <cell r="BK56" t="str">
            <v>IQT408379099</v>
          </cell>
          <cell r="BS56" t="str">
            <v>IQT327208227</v>
          </cell>
        </row>
        <row r="57">
          <cell r="BK57" t="str">
            <v>IQT418181110</v>
          </cell>
          <cell r="BS57" t="str">
            <v>IQT597828042</v>
          </cell>
        </row>
        <row r="58">
          <cell r="BK58" t="str">
            <v>IQT600068470</v>
          </cell>
          <cell r="BS58" t="str">
            <v>IQT431262775</v>
          </cell>
        </row>
        <row r="59">
          <cell r="BK59" t="str">
            <v>IQT14226750</v>
          </cell>
          <cell r="BS59" t="str">
            <v>IQT40743916</v>
          </cell>
        </row>
        <row r="60">
          <cell r="BK60" t="str">
            <v>IQT32255532</v>
          </cell>
          <cell r="BS60" t="str">
            <v>IQT249868658</v>
          </cell>
        </row>
        <row r="61">
          <cell r="BK61" t="str">
            <v>IQT40743920</v>
          </cell>
          <cell r="BS61" t="str">
            <v>IQT326324421</v>
          </cell>
        </row>
        <row r="62">
          <cell r="BK62" t="str">
            <v>IQT327208232</v>
          </cell>
          <cell r="BS62" t="str">
            <v>IQT408379099</v>
          </cell>
        </row>
        <row r="63">
          <cell r="BK63" t="str">
            <v>IQT431158999</v>
          </cell>
          <cell r="BS63" t="str">
            <v>IQT418181110</v>
          </cell>
        </row>
        <row r="64">
          <cell r="BK64" t="str">
            <v>IQT597828091</v>
          </cell>
          <cell r="BS64" t="str">
            <v>IQT600068470</v>
          </cell>
        </row>
        <row r="65">
          <cell r="BK65" t="str">
            <v>IQT14308482</v>
          </cell>
          <cell r="BS65" t="str">
            <v>IQT14226750</v>
          </cell>
        </row>
        <row r="66">
          <cell r="BK66" t="str">
            <v>IQT49510191</v>
          </cell>
          <cell r="BS66" t="str">
            <v>IQT32255532</v>
          </cell>
        </row>
        <row r="67">
          <cell r="BK67" t="str">
            <v>IQT84497728</v>
          </cell>
          <cell r="BS67" t="str">
            <v>IQT40743920</v>
          </cell>
        </row>
        <row r="68">
          <cell r="BK68" t="str">
            <v>IQT207141797</v>
          </cell>
          <cell r="BS68" t="str">
            <v>IQT327208232</v>
          </cell>
        </row>
        <row r="69">
          <cell r="BK69" t="str">
            <v>IQT14207532</v>
          </cell>
          <cell r="BS69" t="str">
            <v>IQT431158999</v>
          </cell>
        </row>
        <row r="70">
          <cell r="BK70" t="str">
            <v>IQT325938603</v>
          </cell>
          <cell r="BS70" t="str">
            <v>IQT597828091</v>
          </cell>
        </row>
        <row r="71">
          <cell r="BK71" t="str">
            <v>IQT14219795</v>
          </cell>
          <cell r="BS71" t="str">
            <v>IQT14308482</v>
          </cell>
        </row>
        <row r="72">
          <cell r="BS72" t="str">
            <v>IQT49510191</v>
          </cell>
        </row>
        <row r="73">
          <cell r="BS73" t="str">
            <v>IQT84497728</v>
          </cell>
        </row>
        <row r="74">
          <cell r="BS74" t="str">
            <v>IQT207141797</v>
          </cell>
        </row>
        <row r="75">
          <cell r="BS75" t="str">
            <v>IQT14207532</v>
          </cell>
        </row>
        <row r="76">
          <cell r="BS76" t="str">
            <v>IQT325938603</v>
          </cell>
        </row>
        <row r="77">
          <cell r="BS77" t="str">
            <v>IQT14219795</v>
          </cell>
        </row>
        <row r="78">
          <cell r="BS78" t="str">
            <v>IQT32231571</v>
          </cell>
        </row>
        <row r="79">
          <cell r="BS79" t="str">
            <v>IQT32251458</v>
          </cell>
        </row>
        <row r="80">
          <cell r="BS80" t="str">
            <v>IQT40789910</v>
          </cell>
        </row>
        <row r="81">
          <cell r="BS81" t="str">
            <v>IQT42230824</v>
          </cell>
        </row>
        <row r="82">
          <cell r="BS82" t="str">
            <v>IQT42230825</v>
          </cell>
        </row>
        <row r="83">
          <cell r="BS83" t="str">
            <v>IQT42230826</v>
          </cell>
        </row>
        <row r="84">
          <cell r="BS84" t="str">
            <v>IQT67289792</v>
          </cell>
        </row>
        <row r="85">
          <cell r="BS85" t="str">
            <v>IQT67301640</v>
          </cell>
        </row>
        <row r="86">
          <cell r="BS86" t="str">
            <v>IQT67301991</v>
          </cell>
        </row>
        <row r="87">
          <cell r="BS87" t="str">
            <v>IQT70053739</v>
          </cell>
        </row>
        <row r="88">
          <cell r="BS88" t="str">
            <v>IQT130402834</v>
          </cell>
        </row>
      </sheetData>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CF"/>
      <sheetName val="Language Index"/>
    </sheetNames>
    <sheetDataSet>
      <sheetData sheetId="0" refreshError="1"/>
      <sheetData sheetId="1">
        <row r="5">
          <cell r="A5">
            <v>10</v>
          </cell>
        </row>
        <row r="8">
          <cell r="CZ8" t="str">
            <v>English</v>
          </cell>
        </row>
      </sheetData>
    </sheetDataSet>
  </externalBook>
</externalLink>
</file>

<file path=xl/persons/person.xml><?xml version="1.0" encoding="utf-8"?>
<personList xmlns="http://schemas.microsoft.com/office/spreadsheetml/2018/threadedcomments" xmlns:x="http://schemas.openxmlformats.org/spreadsheetml/2006/mai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1">
  <rv s="0">
    <v>https://www.bing.com/financeapi/forcetrigger?t=c2twlh&amp;q=XNYS%3aVSCO&amp;form=skydnc</v>
    <v>Learn more on Bing</v>
  </rv>
  <rv s="1">
    <v>en-GB</v>
    <v>c2twlh</v>
    <v>268435456</v>
    <v>1</v>
    <v>Powered by Refinitiv</v>
    <v>0</v>
    <v>VICTORIA'S SECRET &amp; CO. (XNYS:VSCO)</v>
    <v>2</v>
    <v>3</v>
    <v>Finance</v>
    <v>4</v>
    <v>66.888999999999996</v>
    <v>13.76</v>
    <v>2.3056999999999999</v>
    <v>-0.43</v>
    <v>-1.595E-4</v>
    <v>-6.8139999999999997E-3</v>
    <v>-0.01</v>
    <v>USD</v>
    <v>Victoria's Secret &amp; Co. is a specialty retailer of women's intimate and other apparel and beauty products marketed under the Victoria's Secret, PINK, and Adore Me brand names. The Company offers a range of products including bras, panties, lingerie, casual sleepwear, apparel, sport and swim, as well as prestige fragrances and body care. Victoria’s Secret brand offers bras, panties, lingerie, casual sleepwear, swim, lounge and sport, as well as fragrances and body care. PINK is a lifestyle brand for young women providing variety of collections and heritage pieces, including apparel, loungewear, activewear, bras, panties, accessories, beauty, and others. Adore Me is a direct-to-consumer lingerie and apparel brand that is focused on serving women of all sizes and budgets.</v>
    <v>New York Stock Exchange</v>
    <v>XNYS</v>
    <v>XNYS</v>
    <v>4 Limited Parkway East, REYNOLDSBURG, OH, 43068 US</v>
    <v>65.16</v>
    <v>Specialty Retailers</v>
    <v>Stock</v>
    <v>46035.882258205471</v>
    <v>0</v>
    <v>61.9</v>
    <v>5031255905</v>
    <v>VICTORIA'S SECRET &amp; CO.</v>
    <v>VICTORIA'S SECRET &amp; CO.</v>
    <v>63.234999999999999</v>
    <v>29.703299999999999</v>
    <v>63.11</v>
    <v>62.68</v>
    <v>62.68</v>
    <v>80268920</v>
    <v>VSCO</v>
    <v>VICTORIA'S SECRET &amp; CO. (XNYS:VSCO)</v>
    <v>1814323</v>
    <v>2819491</v>
    <v>2021</v>
  </rv>
  <rv s="2">
    <v>1</v>
  </rv>
  <rv s="0">
    <v>https://www.bing.com/financeapi/forcetrigger?t=a24z2w&amp;q=XNAS%3aURBN&amp;form=skydnc</v>
    <v>Learn more on Bing</v>
  </rv>
  <rv s="3">
    <v>en-GB</v>
    <v>a24z2w</v>
    <v>268435456</v>
    <v>1</v>
    <v>Powered by Refinitiv</v>
    <v>5</v>
    <v>URBAN OUTFITTERS, INC. (XNAS:URBN)</v>
    <v>2</v>
    <v>6</v>
    <v>Finance</v>
    <v>4</v>
    <v>84.35</v>
    <v>41.89</v>
    <v>1.2369000000000001</v>
    <v>1.64</v>
    <v>3.5110000000000002E-3</v>
    <v>2.2931E-2</v>
    <v>0.25690000000000002</v>
    <v>USD</v>
    <v>Urban Outfitters, Inc. is a lifestyle products and services company. The Company operates through three segments: Retail, Wholesale and Nuuly. The Retail segment includes its store and digital channels and primarily includes its Anthropologie, Free People, FP Movement and Urban Outfitters brands. In addition to retail stores, it offers products and services directly to its customers through its Websites, mobile applications, social media and third-party digital platforms, catalogs and customer contact centers. The Subscription segment includes the Nuuly brand, which primarily offers customers a more sustainable way to explore fashion through a monthly women’s apparel subscription rental service. The Wholesale segment primarily designs, develops and markets young women's contemporary casual apparel, intimates, FP Movement activewear and shoes under the Free People and FP Movement brands and the BDG and iets frans apparel collections under the Urban Outfitters brand.</v>
    <v>11310</v>
    <v>Nasdaq Stock Market</v>
    <v>XNAS</v>
    <v>XNAS</v>
    <v>5000 S Broad St, PHILADELPHIA, PA, 19112 US</v>
    <v>74.295000000000002</v>
    <v>Specialty Retailers</v>
    <v>Stock</v>
    <v>46035.886133390624</v>
    <v>3</v>
    <v>70.540000000000006</v>
    <v>6560911250</v>
    <v>URBAN OUTFITTERS, INC.</v>
    <v>URBAN OUTFITTERS, INC.</v>
    <v>70.680000000000007</v>
    <v>13.8325</v>
    <v>71.52</v>
    <v>73.16</v>
    <v>73.416899999999998</v>
    <v>89678940</v>
    <v>URBN</v>
    <v>URBAN OUTFITTERS, INC. (XNAS:URBN)</v>
    <v>2172525</v>
    <v>1826010</v>
    <v>1976</v>
  </rv>
  <rv s="2">
    <v>4</v>
  </rv>
  <rv s="0">
    <v>https://www.bing.com/financeapi/forcetrigger?t=a1my8m&amp;q=XNYS%3aAEO&amp;form=skydnc</v>
    <v>Learn more on Bing</v>
  </rv>
  <rv s="3">
    <v>en-GB</v>
    <v>a1my8m</v>
    <v>268435456</v>
    <v>1</v>
    <v>Powered by Refinitiv</v>
    <v>5</v>
    <v>AMERICAN EAGLE OUTFITTERS, INC. (XNYS:AEO)</v>
    <v>2</v>
    <v>6</v>
    <v>Finance</v>
    <v>4</v>
    <v>28.46</v>
    <v>9.27</v>
    <v>1.3984000000000001</v>
    <v>0.81499999999999995</v>
    <v>0</v>
    <v>3.1503999999999997E-2</v>
    <v>0</v>
    <v>USD</v>
    <v>American Eagle Outfitters, Inc. is a global specialty retailer. The Company offers clothing, accessories and personal care products under its American Eagle and Aerie brands. The Company operates through two segments: American Eagle and Aerie. American Eagle is an American jeans and apparel brand. Aerie is a lifestyle brand offering intimates, apparel, activewear, and swim collections. OFFLINE by Aerie offers a complete collection of activewear and accessories. The Company sells its products directly to consumers through its retail channel, which includes its stores and concession-based shops-within-shops. It operates stores in the United States, Canada, Mexico, and Hong Kong. The Company has license agreements with third parties to operate American Eagle and Aerie stores and online marketplace businesses throughout Asia, including India, Europe, Latin America, and the Middle East. The Company also operates Todd Snyder New York (Todd Snyder), a premium menswear brand.</v>
    <v>9000</v>
    <v>New York Stock Exchange</v>
    <v>XNYS</v>
    <v>XNYS</v>
    <v>77 Hot Metal St, PITTSBURGH, PA, 15203 US</v>
    <v>27.074999999999999</v>
    <v>Specialty Retailers</v>
    <v>Stock</v>
    <v>46035.888890346876</v>
    <v>6</v>
    <v>25.8</v>
    <v>4523427720</v>
    <v>AMERICAN EAGLE OUTFITTERS, INC.</v>
    <v>AMERICAN EAGLE OUTFITTERS, INC.</v>
    <v>26.27</v>
    <v>23.000299999999999</v>
    <v>25.87</v>
    <v>26.684999999999999</v>
    <v>26.69</v>
    <v>169512000</v>
    <v>AEO</v>
    <v>AMERICAN EAGLE OUTFITTERS, INC. (XNYS:AEO)</v>
    <v>4620517</v>
    <v>7666976</v>
    <v>1972</v>
  </rv>
  <rv s="2">
    <v>7</v>
  </rv>
  <rv s="0">
    <v>https://www.bing.com/financeapi/forcetrigger?t=a1nikr&amp;q=XNYS%3aANF&amp;form=skydnc</v>
    <v>Learn more on Bing</v>
  </rv>
  <rv s="3">
    <v>en-GB</v>
    <v>a1nikr</v>
    <v>268435456</v>
    <v>1</v>
    <v>Powered by Refinitiv</v>
    <v>5</v>
    <v>ABERCROMBIE &amp; FITCH CO. (XNYS:ANF)</v>
    <v>2</v>
    <v>6</v>
    <v>Finance</v>
    <v>4</v>
    <v>147.91</v>
    <v>65.400000000000006</v>
    <v>1.1688000000000001</v>
    <v>0.23</v>
    <v>3.5630000000000004E-4</v>
    <v>2.238E-3</v>
    <v>3.6700000000000003E-2</v>
    <v>USD</v>
    <v>Abercrombie &amp; Fitch Co. is a global, digitally led omnichannel specialty retailer of apparel and accessories. The Company offers an assortment of apparel, personal care products and accessories for men, women and kids, which are sold primarily through its Company-owned stores and digital channels, as well as through various third-party arrangements. The Company’s brands include Abercrombie brands, which includes Abercrombie &amp; Fitch, abercrombie kids, and Your Personal Best (YPB), and Hollister brands, which include Hollister and Gilly Hicks. Its geographic segments include the Americas, EMEA, and APAC. The Company also offers its loyalty programs, which include Abercrombie’s myAbercrombie and Hollister’s Hollister House Rewards. The Company operates approximately 790 stores under these brands across North America, Europe, Asia and the Middle East, as well as the e-commerce sites abercrombie.com, abercrombiekids.com, and hollisterco.com.</v>
    <v>6600</v>
    <v>New York Stock Exchange</v>
    <v>XNYS</v>
    <v>XNYS</v>
    <v>6301 Fitch Path, NEW ALBANY, OH, 43054 US</v>
    <v>108.49</v>
    <v>Specialty Retailers</v>
    <v>Stock</v>
    <v>46035.891965346877</v>
    <v>9</v>
    <v>102.53</v>
    <v>4723787255</v>
    <v>ABERCROMBIE &amp; FITCH CO.</v>
    <v>ABERCROMBIE &amp; FITCH CO.</v>
    <v>104.02</v>
    <v>9.8889999999999993</v>
    <v>102.78</v>
    <v>103.01</v>
    <v>103.0467</v>
    <v>45857560</v>
    <v>ANF</v>
    <v>ABERCROMBIE &amp; FITCH CO. (XNYS:ANF)</v>
    <v>2649671</v>
    <v>2069556</v>
    <v>1996</v>
  </rv>
  <rv s="2">
    <v>10</v>
  </rv>
  <rv s="0">
    <v>https://www.bing.com/financeapi/forcetrigger?t=bpipfr&amp;q=XNYS%3aLEVI&amp;form=skydnc</v>
    <v>Learn more on Bing</v>
  </rv>
  <rv s="3">
    <v>en-GB</v>
    <v>bpipfr</v>
    <v>268435456</v>
    <v>1</v>
    <v>Powered by Refinitiv</v>
    <v>5</v>
    <v>LEVI STRAUSS &amp; CO. (XNYS:LEVI)</v>
    <v>2</v>
    <v>6</v>
    <v>Finance</v>
    <v>4</v>
    <v>24.82</v>
    <v>12.17</v>
    <v>1.3305</v>
    <v>7.0000000000000007E-2</v>
    <v>0</v>
    <v>3.271E-3</v>
    <v>0</v>
    <v>USD</v>
    <v>Levi Strauss &amp; Co. is an apparel company. The Company designs and markets jeans, casual wear and related accessories for men, women and children under the Levi's, Levi Strauss Signature, Denizen, Dockers and Beyond Yoga brands. The Company operates through three geographical segments: Americas, Europe, and Asia. It designs, markets and sells directly or through third parties and licensee's products that include jeans, casual and dress pants, tops, shorts, skirts, dresses, jackets, footwear, and related accessories for men, women and children around the world. The Company’s products are sold in more than 120 countries worldwide through a combination of chain retailers, department stores, online sites, and a global footprint of approximately 3,400 retail stores and shop-in-shops. Outside the United States, department stores, specialty retailers, franchised or other brand-dedicated stores and shop-in-shops are its primary distribution channels.</v>
    <v>18700</v>
    <v>New York Stock Exchange</v>
    <v>XNYS</v>
    <v>XNYS</v>
    <v>1155 Battery St, SAN FRANCISCO, CA, 94111 US</v>
    <v>21.572500000000002</v>
    <v>Textiles &amp; Apparel</v>
    <v>Stock</v>
    <v>46035.888892719529</v>
    <v>12</v>
    <v>21.364999999999998</v>
    <v>8391111512</v>
    <v>LEVI STRAUSS &amp; CO.</v>
    <v>LEVI STRAUSS &amp; CO.</v>
    <v>21.41</v>
    <v>16.3856</v>
    <v>21.4</v>
    <v>21.47</v>
    <v>21.47</v>
    <v>390829600</v>
    <v>LEVI</v>
    <v>LEVI STRAUSS &amp; CO. (XNYS:LEVI)</v>
    <v>1203914</v>
    <v>1727859</v>
    <v>1970</v>
  </rv>
  <rv s="2">
    <v>13</v>
  </rv>
  <rv s="0">
    <v>https://www.bing.com/financeapi/forcetrigger?t=a1wrf2&amp;q=XNYS%3aBBWI&amp;form=skydnc</v>
    <v>Learn more on Bing</v>
  </rv>
  <rv s="3">
    <v>en-GB</v>
    <v>a1wrf2</v>
    <v>268435456</v>
    <v>1</v>
    <v>Powered by Refinitiv</v>
    <v>5</v>
    <v>BATH &amp; BODY WORKS, INC. (XNYS:BBWI)</v>
    <v>2</v>
    <v>6</v>
    <v>Finance</v>
    <v>4</v>
    <v>41.87</v>
    <v>14.275</v>
    <v>1.5387999999999999</v>
    <v>0.41</v>
    <v>0</v>
    <v>1.8166000000000002E-2</v>
    <v>0</v>
    <v>USD</v>
    <v>Bath &amp; Body Works, Inc. is a global omnichannel retailer focused on personal care and home fragrance. The Company offers a range of fragrances for the body and home, including selling collections for 3-wick candles, home fragrance diffusers, fine fragrance mists, liquid hand soaps, body lotions and body creams. It delivers customers their fragrances in multiple forms and categories. The Company sells merchandise through its retail stores in the United States and Canada, and through its Websites and other channels, under the Bath &amp; Body Works, White Barn and other brand names. The Company’s international business is conducted through franchise, license and wholesale partners. It provides in-store experiences at more than 1,890 Company-operated Bath &amp; Body Works locations in the United States and Canada, more than 525 international franchised locations and an online storefront at bathandbodyworks.com. Additionally, it offers a buy online pick-up in-store (BOPIS) option.</v>
    <v>8975</v>
    <v>New York Stock Exchange</v>
    <v>XNYS</v>
    <v>XNYS</v>
    <v>THREE LIMITED PKWY, P O BOX 16000, COLUMBUS, OH, 43230 US</v>
    <v>23.36</v>
    <v>Specialty Retailers</v>
    <v>Stock</v>
    <v>46035.888892499999</v>
    <v>15</v>
    <v>22.69</v>
    <v>4704502368</v>
    <v>BATH &amp; BODY WORKS, INC.</v>
    <v>BATH &amp; BODY WORKS, INC.</v>
    <v>23.02</v>
    <v>7.0221999999999998</v>
    <v>22.57</v>
    <v>22.98</v>
    <v>22.98</v>
    <v>204721600</v>
    <v>BBWI</v>
    <v>BATH &amp; BODY WORKS, INC. (XNYS:BBWI)</v>
    <v>4493543</v>
    <v>6308559</v>
    <v>1982</v>
  </rv>
  <rv s="2">
    <v>16</v>
  </rv>
  <rv s="0">
    <v>https://www.bing.com/financeapi/forcetrigger?t=a21fw7&amp;q=XNYS%3aPVH&amp;form=skydnc</v>
    <v>Learn more on Bing</v>
  </rv>
  <rv s="3">
    <v>en-GB</v>
    <v>a21fw7</v>
    <v>268435456</v>
    <v>1</v>
    <v>Powered by Refinitiv</v>
    <v>5</v>
    <v>PVH CORP. (XNYS:PVH)</v>
    <v>2</v>
    <v>6</v>
    <v>Finance</v>
    <v>4</v>
    <v>101.72</v>
    <v>59.280099999999997</v>
    <v>1.7133</v>
    <v>0.99</v>
    <v>2.137E-3</v>
    <v>1.5337E-2</v>
    <v>0.14000000000000001</v>
    <v>USD</v>
    <v>PVH Corp. is an apparel company that designs and markets branded sportswear (casual apparel), jeanswear, intimate apparel, swimwear, handbags, accessories, footwear and other related products. Its segments include Americas, Europe, the Middle East and Africa, Asia-Pacific, and Licensing. Its three main businesses include Tommy Hilfiger, which consists of the Tommy Hilfiger North America and Tommy Hilfiger International segments; Calvin Klein, which consists of the Calvin Klein North America and Calvin Klein International segments; and Heritage Brands, which consists of the Heritage Brands Wholesale segment. Its operations outside North America consist of wholesale sales under its owned and licensed trademarks, and retail stores operations, and digital commerce sites under its TOMMY HILFIGER and Calvin Klein trademarks. Its licensing activities include TOMMY HILFIGER and Calvin Klein trademark licensing for a broad array of product categories and for use in certain territories.</v>
    <v>16000</v>
    <v>New York Stock Exchange</v>
    <v>XNYS</v>
    <v>XNYS</v>
    <v>285 Madison Avenue, NEW YORK, NY, 10017 US</v>
    <v>66</v>
    <v>Textiles &amp; Apparel</v>
    <v>Stock</v>
    <v>46035.889078796092</v>
    <v>18</v>
    <v>64.73</v>
    <v>3001908958</v>
    <v>PVH CORP.</v>
    <v>PVH CORP.</v>
    <v>64.73</v>
    <v>9.8317999999999994</v>
    <v>64.55</v>
    <v>65.540000000000006</v>
    <v>65.650000000000006</v>
    <v>45802700</v>
    <v>PVH</v>
    <v>PVH CORP. (XNYS:PVH)</v>
    <v>826606</v>
    <v>933879</v>
    <v>1976</v>
  </rv>
  <rv s="2">
    <v>19</v>
  </rv>
</rvData>
</file>

<file path=xl/richData/rdrichvaluestructure.xml><?xml version="1.0" encoding="utf-8"?>
<rvStructures xmlns="http://schemas.microsoft.com/office/spreadsheetml/2017/richdata" count="4">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2">
    <a count="44">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Headquarters</v>
      <v t="s">Industry</v>
      <v t="s">Instrument type</v>
      <v t="s">Year incorporated</v>
      <v t="s">_Flags</v>
      <v t="s">UniqueName</v>
      <v t="s">_DisplayString</v>
      <v t="s">LearnMoreOnLink</v>
      <v t="s">ExchangeID</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7">
    <spb s="0">
      <v>0</v>
      <v>Name</v>
      <v>LearnMoreOnLink</v>
    </spb>
    <spb s="1">
      <v>0</v>
      <v>0</v>
      <v>0</v>
    </spb>
    <spb s="2">
      <v>1</v>
      <v>1</v>
      <v>1</v>
      <v>1</v>
    </spb>
    <spb s="3">
      <v>1</v>
      <v>2</v>
      <v>2</v>
      <v>1</v>
      <v>3</v>
      <v>1</v>
      <v>1</v>
      <v>1</v>
      <v>4</v>
      <v>5</v>
      <v>6</v>
      <v>1</v>
      <v>1</v>
      <v>1</v>
      <v>4</v>
      <v>7</v>
      <v>8</v>
      <v>9</v>
      <v>4</v>
      <v>1</v>
      <v>1</v>
      <v>5</v>
    </spb>
    <spb s="4">
      <v>at close</v>
      <v>from previous close</v>
      <v>from previous close</v>
      <v>Source: Nasdaq Last Sale</v>
      <v>GMT</v>
      <v>Real-Time Nasdaq Last Sale</v>
      <v>from close</v>
      <v>from close</v>
    </spb>
    <spb s="0">
      <v>1</v>
      <v>Name</v>
      <v>LearnMoreOnLink</v>
    </spb>
    <spb s="5">
      <v>1</v>
      <v>2</v>
      <v>2</v>
      <v>1</v>
      <v>3</v>
      <v>1</v>
      <v>1</v>
      <v>1</v>
      <v>4</v>
      <v>4</v>
      <v>5</v>
      <v>6</v>
      <v>1</v>
      <v>1</v>
      <v>1</v>
      <v>4</v>
      <v>7</v>
      <v>8</v>
      <v>9</v>
      <v>4</v>
      <v>1</v>
      <v>1</v>
      <v>5</v>
    </spb>
  </spbData>
</supportingPropertyBags>
</file>

<file path=xl/richData/rdsupportingpropertybagstructure.xml><?xml version="1.0" encoding="utf-8"?>
<spbStructures xmlns="http://schemas.microsoft.com/office/spreadsheetml/2017/richdata2" count="6">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dd/mm/yyyy\ hh:mm"/>
    </x:dxf>
    <x:dxf>
      <x:numFmt numFmtId="14" formatCode="0.00%"/>
    </x:dxf>
    <x:dxf>
      <x:numFmt numFmtId="3" formatCode="#,##0"/>
    </x:dxf>
    <x:dxf>
      <x:numFmt numFmtId="4" formatCode="#,##0.00"/>
    </x:dxf>
    <x:dxf>
      <x:numFmt numFmtId="1" formatCode="0"/>
    </x:dxf>
  </dxfs>
  <richProperties>
    <rPr n="NumberFormat" t="s"/>
    <rPr n="IsTitleField" t="b"/>
  </richProperties>
  <richStyles>
    <rSty dxfid="1">
      <rpv i="0">_([$$-en-US]* #,##0.00_);_([$$-en-US]* (#,##0.00);_([$$-en-US]* "-"??_);_(@_)</rpv>
    </rSty>
    <rSty dxfid="5">
      <rpv i="0">#,##0.00</rpv>
    </rSty>
    <rSty>
      <rpv i="1">1</rpv>
    </rSty>
    <rSty dxfid="4">
      <rpv i="0">#,##0</rpv>
    </rSty>
    <rSty dxfid="3"/>
    <rSty dxfid="1">
      <rpv i="0">_([$$-en-US]* #,##0_);_([$$-en-US]* (#,##0);_([$$-en-US]* "-"_);_(@_)</rpv>
    </rSty>
    <rSty dxfid="2"/>
    <rSty dxfid="6">
      <rpv i="0">0</rpv>
    </rSty>
    <rSty dxfid="0">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image" Target="../media/image1.jpeg"/></Relationships>
</file>

<file path=xl/worksheets/_rels/sheet10.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F10"/>
  <sheetViews>
    <sheetView showGridLines="0" zoomScaleNormal="100" workbookViewId="0">
      <selection activeCell="B26" sqref="B26"/>
    </sheetView>
  </sheetViews>
  <sheetFormatPr defaultRowHeight="14.4"/>
  <cols>
    <col min="1" max="6" width="9.21875" customWidth="1"/>
  </cols>
  <sheetData>
    <row r="3" spans="2:6">
      <c r="B3" s="308"/>
      <c r="C3" s="308"/>
      <c r="D3" s="308"/>
      <c r="E3" s="308"/>
      <c r="F3" s="308"/>
    </row>
    <row r="4" spans="2:6" ht="21">
      <c r="B4" s="307" t="s">
        <v>1</v>
      </c>
      <c r="C4" s="307"/>
      <c r="D4" s="307"/>
      <c r="E4" s="307"/>
      <c r="F4" s="307"/>
    </row>
    <row r="5" spans="2:6">
      <c r="B5" s="309" t="s">
        <v>0</v>
      </c>
      <c r="C5" s="309"/>
      <c r="D5" s="309"/>
      <c r="E5" s="309"/>
      <c r="F5" s="309"/>
    </row>
    <row r="6" spans="2:6">
      <c r="B6" s="1"/>
      <c r="C6" s="1"/>
      <c r="D6" s="1"/>
      <c r="E6" s="1"/>
      <c r="F6" s="1"/>
    </row>
    <row r="7" spans="2:6" ht="19.2" customHeight="1">
      <c r="B7" s="310" t="s">
        <v>2</v>
      </c>
      <c r="C7" s="310"/>
      <c r="D7" s="310"/>
      <c r="E7" s="310"/>
      <c r="F7" s="310"/>
    </row>
    <row r="8" spans="2:6" ht="14.4" customHeight="1">
      <c r="B8" s="310"/>
      <c r="C8" s="310"/>
      <c r="D8" s="310"/>
      <c r="E8" s="310"/>
      <c r="F8" s="310"/>
    </row>
    <row r="9" spans="2:6" ht="15.6">
      <c r="B9" s="311" t="s">
        <v>3</v>
      </c>
      <c r="C9" s="311"/>
      <c r="D9" s="311"/>
      <c r="E9" s="311"/>
      <c r="F9" s="311"/>
    </row>
    <row r="10" spans="2:6">
      <c r="B10" s="1"/>
      <c r="C10" s="1"/>
      <c r="D10" s="1"/>
      <c r="E10" s="1"/>
      <c r="F10" s="1"/>
    </row>
  </sheetData>
  <mergeCells count="5">
    <mergeCell ref="B4:F4"/>
    <mergeCell ref="B3:F3"/>
    <mergeCell ref="B5:F5"/>
    <mergeCell ref="B7:F8"/>
    <mergeCell ref="B9:F9"/>
  </mergeCells>
  <pageMargins left="0.7" right="0.7" top="0.75" bottom="0.75" header="0.3" footer="0.3"/>
  <pictur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9B72B-E09C-4E1B-AC14-91C7983F737A}">
  <dimension ref="A2:Q32"/>
  <sheetViews>
    <sheetView showGridLines="0" workbookViewId="0">
      <selection activeCell="E18" sqref="E18"/>
    </sheetView>
  </sheetViews>
  <sheetFormatPr defaultRowHeight="14.4"/>
  <cols>
    <col min="1" max="1" width="1.88671875" bestFit="1" customWidth="1"/>
    <col min="2" max="2" width="19.21875" bestFit="1" customWidth="1"/>
    <col min="3" max="3" width="6.44140625" bestFit="1" customWidth="1"/>
    <col min="9" max="9" width="5" bestFit="1" customWidth="1"/>
    <col min="10" max="10" width="9.77734375" bestFit="1" customWidth="1"/>
    <col min="12" max="12" width="43.33203125" bestFit="1" customWidth="1"/>
  </cols>
  <sheetData>
    <row r="2" spans="1:17">
      <c r="A2" t="s">
        <v>93</v>
      </c>
      <c r="B2" s="2" t="s">
        <v>444</v>
      </c>
      <c r="C2" s="2"/>
      <c r="D2" s="2"/>
      <c r="I2" s="82" t="s">
        <v>226</v>
      </c>
      <c r="J2" s="82" t="s">
        <v>449</v>
      </c>
      <c r="L2" t="s">
        <v>459</v>
      </c>
    </row>
    <row r="3" spans="1:17">
      <c r="I3">
        <v>2025</v>
      </c>
      <c r="J3" s="84">
        <v>17.88</v>
      </c>
    </row>
    <row r="4" spans="1:17">
      <c r="B4" t="s">
        <v>445</v>
      </c>
      <c r="C4" t="s">
        <v>4</v>
      </c>
      <c r="D4">
        <v>4.18</v>
      </c>
      <c r="I4">
        <v>2024</v>
      </c>
      <c r="J4" s="84">
        <v>25.02</v>
      </c>
      <c r="L4" t="e" vm="2">
        <v>#VALUE!</v>
      </c>
      <c r="M4" s="327" cm="1">
        <f t="array" aca="1" ref="M4" ca="1">_FV(L4,"Beta")</f>
        <v>1.2369000000000001</v>
      </c>
      <c r="Q4" s="327"/>
    </row>
    <row r="5" spans="1:17">
      <c r="B5" t="s">
        <v>448</v>
      </c>
      <c r="C5" t="s">
        <v>4</v>
      </c>
      <c r="D5" s="324">
        <f>SUM(J3:J32)/30</f>
        <v>11.925999999999998</v>
      </c>
      <c r="I5">
        <v>2023</v>
      </c>
      <c r="J5" s="84">
        <v>26.29</v>
      </c>
      <c r="L5" t="e" vm="3">
        <v>#VALUE!</v>
      </c>
      <c r="M5" s="327" cm="1">
        <f t="array" aca="1" ref="M5" ca="1">_FV(L5,"Beta")</f>
        <v>1.3984000000000001</v>
      </c>
    </row>
    <row r="6" spans="1:17">
      <c r="B6" t="s">
        <v>447</v>
      </c>
      <c r="C6" t="s">
        <v>4</v>
      </c>
      <c r="D6" s="51">
        <f>D5-D4</f>
        <v>7.7459999999999987</v>
      </c>
      <c r="I6">
        <v>2022</v>
      </c>
      <c r="J6" s="84">
        <v>-18.11</v>
      </c>
      <c r="L6" t="e" vm="4">
        <v>#VALUE!</v>
      </c>
      <c r="M6" s="327" cm="1">
        <f t="array" aca="1" ref="M6" ca="1">_FV(L6,"Beta")</f>
        <v>1.1688000000000001</v>
      </c>
    </row>
    <row r="7" spans="1:17">
      <c r="I7">
        <v>2021</v>
      </c>
      <c r="J7" s="84">
        <v>28.71</v>
      </c>
      <c r="L7" t="e" vm="5">
        <v>#VALUE!</v>
      </c>
      <c r="M7" s="327" cm="1">
        <f t="array" aca="1" ref="M7" ca="1">_FV(L7,"Beta")</f>
        <v>1.3305</v>
      </c>
    </row>
    <row r="8" spans="1:17">
      <c r="B8" t="s">
        <v>446</v>
      </c>
      <c r="D8" s="327">
        <f ca="1">M11</f>
        <v>1.3977833333333332</v>
      </c>
      <c r="I8">
        <v>2020</v>
      </c>
      <c r="J8" s="84">
        <v>18.399999999999999</v>
      </c>
      <c r="L8" t="e" vm="6">
        <v>#VALUE!</v>
      </c>
      <c r="M8" s="327" cm="1">
        <f t="array" aca="1" ref="M8" ca="1">_FV(L8,"Beta")</f>
        <v>1.5387999999999999</v>
      </c>
    </row>
    <row r="9" spans="1:17">
      <c r="I9">
        <v>2019</v>
      </c>
      <c r="J9" s="84">
        <v>31.49</v>
      </c>
      <c r="L9" t="e" vm="7">
        <v>#VALUE!</v>
      </c>
      <c r="M9" s="327" cm="1">
        <f t="array" aca="1" ref="M9" ca="1">_FV(L9,"Beta")</f>
        <v>1.7133</v>
      </c>
    </row>
    <row r="10" spans="1:17">
      <c r="B10" t="s">
        <v>444</v>
      </c>
      <c r="C10" t="s">
        <v>4</v>
      </c>
      <c r="D10" s="51">
        <f ca="1">D4+D8*D6</f>
        <v>15.007229699999996</v>
      </c>
      <c r="I10">
        <v>2018</v>
      </c>
      <c r="J10" s="84">
        <v>-4.38</v>
      </c>
    </row>
    <row r="11" spans="1:17">
      <c r="I11">
        <v>2017</v>
      </c>
      <c r="J11" s="84">
        <v>21.83</v>
      </c>
      <c r="L11" t="s">
        <v>460</v>
      </c>
      <c r="M11" s="328">
        <f ca="1">SUM(M4:M9)/6</f>
        <v>1.3977833333333332</v>
      </c>
    </row>
    <row r="12" spans="1:17">
      <c r="B12" t="s">
        <v>450</v>
      </c>
      <c r="C12" t="s">
        <v>4</v>
      </c>
      <c r="D12">
        <f>D4+2</f>
        <v>6.18</v>
      </c>
      <c r="I12">
        <v>2016</v>
      </c>
      <c r="J12" s="84">
        <v>11.96</v>
      </c>
    </row>
    <row r="13" spans="1:17">
      <c r="I13">
        <v>2015</v>
      </c>
      <c r="J13" s="84">
        <v>1.38</v>
      </c>
    </row>
    <row r="14" spans="1:17">
      <c r="B14" t="s">
        <v>451</v>
      </c>
      <c r="C14" t="s">
        <v>4</v>
      </c>
      <c r="D14" s="51">
        <f>D12*(1-'CF Adjustments'!O5)</f>
        <v>4.7069043624469984</v>
      </c>
      <c r="I14">
        <v>2014</v>
      </c>
      <c r="J14" s="84">
        <v>13.69</v>
      </c>
    </row>
    <row r="15" spans="1:17">
      <c r="I15">
        <v>2013</v>
      </c>
      <c r="J15" s="84">
        <v>32.39</v>
      </c>
    </row>
    <row r="16" spans="1:17">
      <c r="I16">
        <v>2012</v>
      </c>
      <c r="J16" s="84">
        <v>16</v>
      </c>
    </row>
    <row r="17" spans="2:10">
      <c r="B17" t="s">
        <v>454</v>
      </c>
      <c r="C17" t="s">
        <v>443</v>
      </c>
      <c r="D17">
        <f ca="1">DCF!G5</f>
        <v>62.68</v>
      </c>
      <c r="I17">
        <v>2011</v>
      </c>
      <c r="J17" s="84">
        <v>2.11</v>
      </c>
    </row>
    <row r="18" spans="2:10">
      <c r="B18" t="s">
        <v>437</v>
      </c>
      <c r="C18" t="s">
        <v>442</v>
      </c>
      <c r="D18">
        <f>DCF!E51</f>
        <v>80.3</v>
      </c>
      <c r="I18">
        <v>2010</v>
      </c>
      <c r="J18" s="84">
        <v>15.06</v>
      </c>
    </row>
    <row r="19" spans="2:10">
      <c r="B19" t="s">
        <v>455</v>
      </c>
      <c r="C19" t="s">
        <v>216</v>
      </c>
      <c r="D19" s="96">
        <f ca="1">D17*D18</f>
        <v>5033.2039999999997</v>
      </c>
      <c r="I19">
        <v>2009</v>
      </c>
      <c r="J19" s="84">
        <v>26.46</v>
      </c>
    </row>
    <row r="20" spans="2:10">
      <c r="I20">
        <v>2008</v>
      </c>
      <c r="J20" s="84">
        <v>-37</v>
      </c>
    </row>
    <row r="21" spans="2:10">
      <c r="B21" t="s">
        <v>452</v>
      </c>
      <c r="C21" t="s">
        <v>216</v>
      </c>
      <c r="D21">
        <f>'3FS'!I129</f>
        <v>4</v>
      </c>
      <c r="I21">
        <v>2007</v>
      </c>
      <c r="J21" s="84">
        <v>5.49</v>
      </c>
    </row>
    <row r="22" spans="2:10">
      <c r="B22" t="s">
        <v>453</v>
      </c>
      <c r="C22" t="s">
        <v>216</v>
      </c>
      <c r="D22" s="69">
        <f>'3FS'!I136</f>
        <v>1347</v>
      </c>
      <c r="I22">
        <v>2006</v>
      </c>
      <c r="J22" s="84">
        <v>15.79</v>
      </c>
    </row>
    <row r="23" spans="2:10">
      <c r="B23" t="s">
        <v>143</v>
      </c>
      <c r="C23" t="s">
        <v>216</v>
      </c>
      <c r="D23" s="96">
        <f>D21+D22</f>
        <v>1351</v>
      </c>
      <c r="I23">
        <v>2005</v>
      </c>
      <c r="J23" s="84">
        <v>4.91</v>
      </c>
    </row>
    <row r="24" spans="2:10">
      <c r="I24">
        <v>2004</v>
      </c>
      <c r="J24" s="84">
        <v>10.88</v>
      </c>
    </row>
    <row r="25" spans="2:10">
      <c r="I25">
        <v>2003</v>
      </c>
      <c r="J25" s="84">
        <v>28.68</v>
      </c>
    </row>
    <row r="26" spans="2:10">
      <c r="B26" t="s">
        <v>456</v>
      </c>
      <c r="D26" s="325">
        <f ca="1">D19/(D19+D23)</f>
        <v>0.78838395514930282</v>
      </c>
      <c r="I26">
        <v>2002</v>
      </c>
      <c r="J26" s="84">
        <v>-22.1</v>
      </c>
    </row>
    <row r="27" spans="2:10">
      <c r="B27" t="str">
        <f>B10</f>
        <v>Cost of Equity</v>
      </c>
      <c r="C27" t="str">
        <f t="shared" ref="C27:D27" si="0">C10</f>
        <v>(%)</v>
      </c>
      <c r="D27" s="325">
        <f t="shared" ca="1" si="0"/>
        <v>15.007229699999996</v>
      </c>
      <c r="I27">
        <v>2001</v>
      </c>
      <c r="J27" s="84">
        <v>-11.89</v>
      </c>
    </row>
    <row r="28" spans="2:10">
      <c r="B28" t="s">
        <v>457</v>
      </c>
      <c r="D28" s="325">
        <f ca="1">D23/(D19+D23)</f>
        <v>0.21161604485069713</v>
      </c>
      <c r="I28">
        <v>2000</v>
      </c>
      <c r="J28" s="84">
        <v>-9.1</v>
      </c>
    </row>
    <row r="29" spans="2:10">
      <c r="B29" t="s">
        <v>458</v>
      </c>
      <c r="C29" t="s">
        <v>4</v>
      </c>
      <c r="D29" s="51">
        <f>D14</f>
        <v>4.7069043624469984</v>
      </c>
      <c r="I29">
        <v>1999</v>
      </c>
      <c r="J29" s="84">
        <v>21.04</v>
      </c>
    </row>
    <row r="30" spans="2:10">
      <c r="B30" s="5" t="s">
        <v>264</v>
      </c>
      <c r="C30" s="5" t="s">
        <v>4</v>
      </c>
      <c r="D30" s="326">
        <f ca="1">D26*D27+D28*D29</f>
        <v>12.827515591391608</v>
      </c>
      <c r="I30">
        <v>1998</v>
      </c>
      <c r="J30" s="84">
        <v>28.58</v>
      </c>
    </row>
    <row r="31" spans="2:10">
      <c r="I31">
        <v>1997</v>
      </c>
      <c r="J31" s="84">
        <v>33.36</v>
      </c>
    </row>
    <row r="32" spans="2:10">
      <c r="I32">
        <v>1996</v>
      </c>
      <c r="J32" s="84">
        <v>22.96</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13A0D-8BCC-4C19-A292-BE51C6DF9E42}">
  <sheetPr>
    <pageSetUpPr fitToPage="1"/>
  </sheetPr>
  <dimension ref="A1:J243"/>
  <sheetViews>
    <sheetView showGridLines="0" topLeftCell="A168" zoomScale="103" zoomScaleNormal="130" workbookViewId="0">
      <selection activeCell="B1" sqref="B1"/>
    </sheetView>
  </sheetViews>
  <sheetFormatPr defaultRowHeight="14.4"/>
  <cols>
    <col min="1" max="1" width="1.88671875" bestFit="1" customWidth="1"/>
    <col min="2" max="2" width="34" bestFit="1" customWidth="1"/>
    <col min="3" max="7" width="9.5546875" bestFit="1" customWidth="1"/>
    <col min="8" max="9" width="9.6640625" customWidth="1"/>
  </cols>
  <sheetData>
    <row r="1" spans="1:9">
      <c r="B1" s="17" t="str">
        <f>Cover!$B$7</f>
        <v>Victoria’s Secret &amp; Co</v>
      </c>
      <c r="C1" s="17"/>
      <c r="D1" s="17"/>
      <c r="E1" s="17"/>
      <c r="F1" s="2"/>
      <c r="G1" s="2"/>
      <c r="H1" s="2"/>
      <c r="I1" s="2"/>
    </row>
    <row r="2" spans="1:9">
      <c r="B2" s="17" t="s">
        <v>91</v>
      </c>
      <c r="C2" s="17"/>
      <c r="D2" s="17"/>
      <c r="E2" s="17"/>
      <c r="F2" s="2"/>
      <c r="G2" s="2"/>
      <c r="H2" s="2"/>
      <c r="I2" s="2"/>
    </row>
    <row r="4" spans="1:9">
      <c r="A4" t="s">
        <v>93</v>
      </c>
      <c r="C4" t="s">
        <v>271</v>
      </c>
      <c r="D4" t="s">
        <v>220</v>
      </c>
      <c r="E4" t="s">
        <v>204</v>
      </c>
      <c r="F4" t="s">
        <v>205</v>
      </c>
      <c r="G4" t="s">
        <v>206</v>
      </c>
      <c r="H4" t="s">
        <v>9</v>
      </c>
      <c r="I4" t="s">
        <v>92</v>
      </c>
    </row>
    <row r="5" spans="1:9">
      <c r="B5" s="8" t="s">
        <v>21</v>
      </c>
      <c r="C5" s="6">
        <v>7509</v>
      </c>
      <c r="D5" s="6">
        <v>5413</v>
      </c>
      <c r="E5" s="6">
        <v>6785</v>
      </c>
      <c r="F5" s="6">
        <v>6344</v>
      </c>
      <c r="G5" s="6">
        <v>6182</v>
      </c>
      <c r="H5" s="6">
        <v>6230</v>
      </c>
      <c r="I5" s="6">
        <v>6390</v>
      </c>
    </row>
    <row r="6" spans="1:9">
      <c r="B6" s="8" t="s">
        <v>22</v>
      </c>
      <c r="C6" s="6" t="s">
        <v>16</v>
      </c>
      <c r="D6" s="6" t="s">
        <v>16</v>
      </c>
      <c r="E6" s="6" t="s">
        <v>16</v>
      </c>
      <c r="F6" s="6" t="s">
        <v>16</v>
      </c>
      <c r="G6" s="6" t="s">
        <v>16</v>
      </c>
      <c r="H6" s="6" t="s">
        <v>16</v>
      </c>
      <c r="I6" s="6" t="s">
        <v>16</v>
      </c>
    </row>
    <row r="7" spans="1:9">
      <c r="B7" s="16" t="s">
        <v>23</v>
      </c>
      <c r="C7" s="7">
        <v>7509</v>
      </c>
      <c r="D7" s="7">
        <v>5413</v>
      </c>
      <c r="E7" s="7">
        <v>6785</v>
      </c>
      <c r="F7" s="7">
        <v>6344</v>
      </c>
      <c r="G7" s="7">
        <v>6182</v>
      </c>
      <c r="H7" s="7">
        <v>6230</v>
      </c>
      <c r="I7" s="7">
        <v>6390</v>
      </c>
    </row>
    <row r="8" spans="1:9">
      <c r="B8" s="8"/>
      <c r="C8" s="8"/>
      <c r="D8" s="8"/>
      <c r="E8" s="8"/>
      <c r="F8" s="8"/>
      <c r="G8" s="8"/>
      <c r="H8" s="8"/>
      <c r="I8" s="21"/>
    </row>
    <row r="9" spans="1:9">
      <c r="B9" s="8" t="s">
        <v>24</v>
      </c>
      <c r="C9" s="6">
        <v>5183</v>
      </c>
      <c r="D9" s="6">
        <v>3613</v>
      </c>
      <c r="E9" s="6">
        <v>4025</v>
      </c>
      <c r="F9" s="6">
        <v>4072</v>
      </c>
      <c r="G9" s="6">
        <v>3908</v>
      </c>
      <c r="H9" s="6">
        <v>3946</v>
      </c>
      <c r="I9" s="6">
        <v>4045</v>
      </c>
    </row>
    <row r="10" spans="1:9">
      <c r="B10" s="16" t="s">
        <v>25</v>
      </c>
      <c r="C10" s="7">
        <v>2326</v>
      </c>
      <c r="D10" s="7">
        <v>1800</v>
      </c>
      <c r="E10" s="7">
        <v>2760</v>
      </c>
      <c r="F10" s="7">
        <v>2272</v>
      </c>
      <c r="G10" s="7">
        <v>2274</v>
      </c>
      <c r="H10" s="7">
        <v>2284</v>
      </c>
      <c r="I10" s="7">
        <v>2345</v>
      </c>
    </row>
    <row r="11" spans="1:9">
      <c r="B11" s="8"/>
      <c r="C11" s="8"/>
      <c r="D11" s="8"/>
      <c r="E11" s="8"/>
      <c r="F11" s="8"/>
      <c r="G11" s="8"/>
      <c r="H11" s="8"/>
      <c r="I11" s="8"/>
    </row>
    <row r="12" spans="1:9">
      <c r="B12" s="8" t="s">
        <v>26</v>
      </c>
      <c r="C12" s="6">
        <v>2235</v>
      </c>
      <c r="D12" s="6">
        <v>1647</v>
      </c>
      <c r="E12" s="6">
        <v>1890</v>
      </c>
      <c r="F12" s="6">
        <v>1744</v>
      </c>
      <c r="G12" s="6">
        <v>1947</v>
      </c>
      <c r="H12" s="6">
        <v>1932</v>
      </c>
      <c r="I12" s="6">
        <v>1981</v>
      </c>
    </row>
    <row r="13" spans="1:9">
      <c r="B13" s="8" t="s">
        <v>27</v>
      </c>
      <c r="C13" s="6" t="s">
        <v>16</v>
      </c>
      <c r="D13" s="6" t="s">
        <v>16</v>
      </c>
      <c r="E13" s="6" t="s">
        <v>16</v>
      </c>
      <c r="F13" s="6" t="s">
        <v>16</v>
      </c>
      <c r="G13" s="6" t="s">
        <v>16</v>
      </c>
      <c r="H13" s="6" t="s">
        <v>16</v>
      </c>
      <c r="I13" s="6" t="s">
        <v>16</v>
      </c>
    </row>
    <row r="14" spans="1:9">
      <c r="B14" s="8" t="s">
        <v>28</v>
      </c>
      <c r="C14" s="6" t="s">
        <v>16</v>
      </c>
      <c r="D14" s="6" t="s">
        <v>16</v>
      </c>
      <c r="E14" s="6" t="s">
        <v>16</v>
      </c>
      <c r="F14" s="6" t="s">
        <v>16</v>
      </c>
      <c r="G14" s="6" t="s">
        <v>16</v>
      </c>
      <c r="H14" s="6" t="s">
        <v>16</v>
      </c>
      <c r="I14" s="6" t="s">
        <v>16</v>
      </c>
    </row>
    <row r="15" spans="1:9">
      <c r="B15" s="8" t="s">
        <v>29</v>
      </c>
      <c r="C15" s="6" t="s">
        <v>16</v>
      </c>
      <c r="D15" s="6" t="s">
        <v>16</v>
      </c>
      <c r="E15" s="6" t="s">
        <v>16</v>
      </c>
      <c r="F15" s="6" t="s">
        <v>16</v>
      </c>
      <c r="G15" s="6">
        <v>25</v>
      </c>
      <c r="H15" s="6">
        <v>25</v>
      </c>
      <c r="I15" s="6">
        <v>25</v>
      </c>
    </row>
    <row r="16" spans="1:9">
      <c r="B16" s="8" t="s">
        <v>30</v>
      </c>
      <c r="C16" s="6" t="s">
        <v>16</v>
      </c>
      <c r="D16" s="6" t="s">
        <v>16</v>
      </c>
      <c r="E16" s="6" t="s">
        <v>16</v>
      </c>
      <c r="F16" s="6" t="s">
        <v>16</v>
      </c>
      <c r="G16" s="6" t="s">
        <v>16</v>
      </c>
      <c r="H16" s="6" t="s">
        <v>16</v>
      </c>
      <c r="I16" s="6" t="s">
        <v>16</v>
      </c>
    </row>
    <row r="17" spans="2:10">
      <c r="B17" s="8"/>
      <c r="C17" s="8"/>
      <c r="D17" s="8"/>
      <c r="E17" s="8"/>
      <c r="F17" s="8"/>
      <c r="G17" s="8"/>
      <c r="H17" s="8"/>
      <c r="I17" s="8"/>
    </row>
    <row r="18" spans="2:10">
      <c r="B18" s="16" t="s">
        <v>31</v>
      </c>
      <c r="C18" s="7">
        <v>2235</v>
      </c>
      <c r="D18" s="7">
        <v>1647</v>
      </c>
      <c r="E18" s="7">
        <v>1890</v>
      </c>
      <c r="F18" s="7">
        <v>1744</v>
      </c>
      <c r="G18" s="7">
        <v>1972</v>
      </c>
      <c r="H18" s="7">
        <v>1957</v>
      </c>
      <c r="I18" s="7">
        <v>2006</v>
      </c>
    </row>
    <row r="19" spans="2:10">
      <c r="B19" s="8"/>
      <c r="C19" s="8"/>
      <c r="D19" s="8"/>
      <c r="E19" s="8"/>
      <c r="F19" s="8"/>
      <c r="G19" s="8"/>
      <c r="H19" s="8"/>
      <c r="I19" s="8"/>
    </row>
    <row r="20" spans="2:10">
      <c r="B20" s="16" t="s">
        <v>32</v>
      </c>
      <c r="C20" s="9">
        <v>91</v>
      </c>
      <c r="D20" s="9">
        <v>153</v>
      </c>
      <c r="E20" s="9">
        <v>870</v>
      </c>
      <c r="F20" s="9">
        <v>528</v>
      </c>
      <c r="G20" s="9">
        <v>302</v>
      </c>
      <c r="H20" s="9">
        <v>327</v>
      </c>
      <c r="I20" s="9">
        <v>339</v>
      </c>
      <c r="J20" s="222"/>
    </row>
    <row r="21" spans="2:10">
      <c r="B21" s="8"/>
      <c r="C21" s="8"/>
      <c r="D21" s="8"/>
      <c r="E21" s="8"/>
      <c r="F21" s="8"/>
      <c r="G21" s="8"/>
      <c r="H21" s="8"/>
      <c r="I21" s="8"/>
    </row>
    <row r="22" spans="2:10">
      <c r="B22" s="8" t="s">
        <v>33</v>
      </c>
      <c r="C22" s="6">
        <v>-8</v>
      </c>
      <c r="D22" s="6">
        <v>-6</v>
      </c>
      <c r="E22" s="6">
        <v>-27</v>
      </c>
      <c r="F22" s="6">
        <v>-60</v>
      </c>
      <c r="G22" s="6">
        <v>-99</v>
      </c>
      <c r="H22" s="6">
        <v>-86</v>
      </c>
      <c r="I22" s="6">
        <v>-73</v>
      </c>
    </row>
    <row r="23" spans="2:10">
      <c r="B23" s="8" t="s">
        <v>34</v>
      </c>
      <c r="C23" s="6" t="s">
        <v>16</v>
      </c>
      <c r="D23" s="6" t="s">
        <v>16</v>
      </c>
      <c r="E23" s="6" t="s">
        <v>16</v>
      </c>
      <c r="F23" s="6" t="s">
        <v>16</v>
      </c>
      <c r="G23" s="6" t="s">
        <v>16</v>
      </c>
      <c r="H23" s="6" t="s">
        <v>16</v>
      </c>
      <c r="I23" s="6" t="s">
        <v>16</v>
      </c>
    </row>
    <row r="24" spans="2:10">
      <c r="B24" s="16" t="s">
        <v>35</v>
      </c>
      <c r="C24" s="7">
        <v>-8</v>
      </c>
      <c r="D24" s="7">
        <v>-6</v>
      </c>
      <c r="E24" s="7">
        <v>-27</v>
      </c>
      <c r="F24" s="7">
        <v>-60</v>
      </c>
      <c r="G24" s="7">
        <v>-99</v>
      </c>
      <c r="H24" s="7">
        <v>-86</v>
      </c>
      <c r="I24" s="7">
        <v>-73</v>
      </c>
    </row>
    <row r="25" spans="2:10">
      <c r="B25" s="8"/>
      <c r="C25" s="8"/>
      <c r="D25" s="8"/>
      <c r="E25" s="8"/>
      <c r="F25" s="8"/>
      <c r="G25" s="8"/>
      <c r="H25" s="8"/>
      <c r="I25" s="8"/>
    </row>
    <row r="26" spans="2:10">
      <c r="B26" s="8" t="s">
        <v>36</v>
      </c>
      <c r="C26" s="6">
        <v>1</v>
      </c>
      <c r="D26" s="6">
        <v>1</v>
      </c>
      <c r="E26" s="6" t="s">
        <v>16</v>
      </c>
      <c r="F26" s="6">
        <v>-1</v>
      </c>
      <c r="G26" s="6" t="s">
        <v>16</v>
      </c>
      <c r="H26" s="6">
        <v>-3</v>
      </c>
      <c r="I26" s="6">
        <v>0</v>
      </c>
    </row>
    <row r="27" spans="2:10">
      <c r="B27" s="16" t="s">
        <v>37</v>
      </c>
      <c r="C27" s="7">
        <v>84</v>
      </c>
      <c r="D27" s="7">
        <v>148</v>
      </c>
      <c r="E27" s="7">
        <v>843</v>
      </c>
      <c r="F27" s="7">
        <v>467</v>
      </c>
      <c r="G27" s="7">
        <v>203</v>
      </c>
      <c r="H27" s="7">
        <v>238</v>
      </c>
      <c r="I27" s="7">
        <v>266</v>
      </c>
    </row>
    <row r="28" spans="2:10">
      <c r="B28" s="8"/>
      <c r="C28" s="8"/>
      <c r="D28" s="8"/>
      <c r="E28" s="8"/>
      <c r="F28" s="8"/>
      <c r="G28" s="8"/>
      <c r="H28" s="8"/>
      <c r="I28" s="8"/>
    </row>
    <row r="29" spans="2:10">
      <c r="B29" s="8" t="s">
        <v>38</v>
      </c>
      <c r="C29" s="6" t="s">
        <v>16</v>
      </c>
      <c r="D29" s="6">
        <v>-25</v>
      </c>
      <c r="E29" s="6" t="s">
        <v>16</v>
      </c>
      <c r="F29" s="6">
        <v>-35</v>
      </c>
      <c r="G29" s="6">
        <v>-11</v>
      </c>
      <c r="H29" s="6">
        <v>-13</v>
      </c>
      <c r="I29" s="6">
        <v>-13</v>
      </c>
    </row>
    <row r="30" spans="2:10">
      <c r="B30" s="8" t="s">
        <v>39</v>
      </c>
      <c r="C30" s="6" t="s">
        <v>16</v>
      </c>
      <c r="D30" s="6" t="s">
        <v>16</v>
      </c>
      <c r="E30" s="6" t="s">
        <v>16</v>
      </c>
      <c r="F30" s="6">
        <v>-15</v>
      </c>
      <c r="G30" s="6">
        <v>-45</v>
      </c>
      <c r="H30" s="6">
        <v>-4</v>
      </c>
      <c r="I30" s="6">
        <v>-9</v>
      </c>
    </row>
    <row r="31" spans="2:10">
      <c r="B31" s="8" t="s">
        <v>40</v>
      </c>
      <c r="C31" s="6">
        <v>-720</v>
      </c>
      <c r="D31" s="6" t="s">
        <v>16</v>
      </c>
      <c r="E31" s="6" t="s">
        <v>16</v>
      </c>
      <c r="F31" s="6" t="s">
        <v>16</v>
      </c>
      <c r="G31" s="6" t="s">
        <v>16</v>
      </c>
      <c r="H31" s="6" t="s">
        <v>16</v>
      </c>
      <c r="I31" s="6" t="s">
        <v>16</v>
      </c>
    </row>
    <row r="32" spans="2:10">
      <c r="B32" s="8" t="s">
        <v>41</v>
      </c>
      <c r="C32" s="6">
        <v>-263</v>
      </c>
      <c r="D32" s="6">
        <v>-229</v>
      </c>
      <c r="E32" s="6" t="s">
        <v>16</v>
      </c>
      <c r="F32" s="6" t="s">
        <v>16</v>
      </c>
      <c r="G32" s="6" t="s">
        <v>16</v>
      </c>
      <c r="H32" s="6" t="s">
        <v>16</v>
      </c>
      <c r="I32" s="6" t="s">
        <v>16</v>
      </c>
    </row>
    <row r="33" spans="1:9">
      <c r="B33" s="8" t="s">
        <v>42</v>
      </c>
      <c r="C33" s="6" t="s">
        <v>16</v>
      </c>
      <c r="D33" s="6" t="s">
        <v>16</v>
      </c>
      <c r="E33" s="6" t="s">
        <v>16</v>
      </c>
      <c r="F33" s="6" t="s">
        <v>16</v>
      </c>
      <c r="G33" s="6" t="s">
        <v>16</v>
      </c>
      <c r="H33" s="6" t="s">
        <v>16</v>
      </c>
      <c r="I33" s="6">
        <v>-7</v>
      </c>
    </row>
    <row r="34" spans="1:9">
      <c r="B34" s="16" t="s">
        <v>43</v>
      </c>
      <c r="C34" s="7">
        <v>-899</v>
      </c>
      <c r="D34" s="7">
        <v>-106</v>
      </c>
      <c r="E34" s="7">
        <v>843</v>
      </c>
      <c r="F34" s="7">
        <v>417</v>
      </c>
      <c r="G34" s="7">
        <v>147</v>
      </c>
      <c r="H34" s="7">
        <v>221</v>
      </c>
      <c r="I34" s="7">
        <v>237</v>
      </c>
    </row>
    <row r="35" spans="1:9">
      <c r="B35" s="8"/>
      <c r="C35" s="8"/>
      <c r="D35" s="8"/>
      <c r="E35" s="8"/>
      <c r="F35" s="8"/>
      <c r="G35" s="8"/>
      <c r="H35" s="8"/>
      <c r="I35" s="8"/>
    </row>
    <row r="36" spans="1:9">
      <c r="B36" s="8" t="s">
        <v>44</v>
      </c>
      <c r="C36" s="6">
        <v>-2</v>
      </c>
      <c r="D36" s="6">
        <v>-34</v>
      </c>
      <c r="E36" s="6">
        <v>197</v>
      </c>
      <c r="F36" s="6">
        <v>79</v>
      </c>
      <c r="G36" s="6">
        <v>31</v>
      </c>
      <c r="H36" s="6">
        <v>52</v>
      </c>
      <c r="I36" s="6">
        <v>54</v>
      </c>
    </row>
    <row r="37" spans="1:9">
      <c r="B37" s="16" t="s">
        <v>45</v>
      </c>
      <c r="C37" s="7">
        <v>-897</v>
      </c>
      <c r="D37" s="7">
        <v>-72</v>
      </c>
      <c r="E37" s="7">
        <v>646</v>
      </c>
      <c r="F37" s="7">
        <v>338</v>
      </c>
      <c r="G37" s="7">
        <v>116</v>
      </c>
      <c r="H37" s="7">
        <v>169</v>
      </c>
      <c r="I37" s="7">
        <v>183</v>
      </c>
    </row>
    <row r="38" spans="1:9">
      <c r="B38" s="8"/>
      <c r="C38" s="8"/>
      <c r="D38" s="8"/>
      <c r="E38" s="8"/>
      <c r="F38" s="8"/>
      <c r="G38" s="8"/>
      <c r="H38" s="8"/>
      <c r="I38" s="8"/>
    </row>
    <row r="39" spans="1:9">
      <c r="B39" s="8" t="s">
        <v>46</v>
      </c>
      <c r="C39" s="6" t="s">
        <v>16</v>
      </c>
      <c r="D39" s="6" t="s">
        <v>16</v>
      </c>
      <c r="E39" s="6" t="s">
        <v>16</v>
      </c>
      <c r="F39" s="6" t="s">
        <v>16</v>
      </c>
      <c r="G39" s="6" t="s">
        <v>16</v>
      </c>
      <c r="H39" s="6" t="s">
        <v>16</v>
      </c>
      <c r="I39" s="6" t="s">
        <v>16</v>
      </c>
    </row>
    <row r="40" spans="1:9">
      <c r="B40" s="8" t="s">
        <v>47</v>
      </c>
      <c r="C40" s="6" t="s">
        <v>16</v>
      </c>
      <c r="D40" s="6" t="s">
        <v>16</v>
      </c>
      <c r="E40" s="6" t="s">
        <v>16</v>
      </c>
      <c r="F40" s="6" t="s">
        <v>16</v>
      </c>
      <c r="G40" s="6" t="s">
        <v>16</v>
      </c>
      <c r="H40" s="6" t="s">
        <v>16</v>
      </c>
      <c r="I40" s="6" t="s">
        <v>16</v>
      </c>
    </row>
    <row r="41" spans="1:9">
      <c r="B41" s="16" t="s">
        <v>48</v>
      </c>
      <c r="C41" s="7">
        <v>-897</v>
      </c>
      <c r="D41" s="7">
        <v>-72</v>
      </c>
      <c r="E41" s="7">
        <v>646</v>
      </c>
      <c r="F41" s="7">
        <v>338</v>
      </c>
      <c r="G41" s="7">
        <v>116</v>
      </c>
      <c r="H41" s="7">
        <v>169</v>
      </c>
      <c r="I41" s="7">
        <v>183</v>
      </c>
    </row>
    <row r="42" spans="1:9">
      <c r="B42" s="8"/>
      <c r="C42" s="8"/>
      <c r="D42" s="8"/>
      <c r="E42" s="8"/>
      <c r="F42" s="8"/>
      <c r="G42" s="8"/>
      <c r="H42" s="8"/>
      <c r="I42" s="8"/>
    </row>
    <row r="43" spans="1:9">
      <c r="B43" s="8" t="s">
        <v>49</v>
      </c>
      <c r="C43" s="6" t="s">
        <v>16</v>
      </c>
      <c r="D43" s="6" t="s">
        <v>16</v>
      </c>
      <c r="E43" s="6" t="s">
        <v>16</v>
      </c>
      <c r="F43" s="6">
        <v>10</v>
      </c>
      <c r="G43" s="6">
        <v>-7</v>
      </c>
      <c r="H43" s="6">
        <v>-4</v>
      </c>
      <c r="I43" s="6">
        <v>-13</v>
      </c>
    </row>
    <row r="44" spans="1:9">
      <c r="A44" t="s">
        <v>93</v>
      </c>
      <c r="B44" s="16" t="s">
        <v>50</v>
      </c>
      <c r="C44" s="10">
        <v>-897</v>
      </c>
      <c r="D44" s="10">
        <v>-72</v>
      </c>
      <c r="E44" s="10">
        <v>646</v>
      </c>
      <c r="F44" s="10">
        <v>348</v>
      </c>
      <c r="G44" s="10">
        <v>109</v>
      </c>
      <c r="H44" s="10">
        <v>165</v>
      </c>
      <c r="I44" s="10">
        <v>170</v>
      </c>
    </row>
    <row r="45" spans="1:9">
      <c r="B45" s="8"/>
      <c r="C45" s="8"/>
      <c r="D45" s="8"/>
      <c r="E45" s="8"/>
      <c r="F45" s="8"/>
      <c r="G45" s="8"/>
      <c r="H45" s="8"/>
      <c r="I45" s="8"/>
    </row>
    <row r="46" spans="1:9">
      <c r="B46" s="8" t="s">
        <v>51</v>
      </c>
      <c r="C46" s="6" t="s">
        <v>16</v>
      </c>
      <c r="D46" s="6" t="s">
        <v>16</v>
      </c>
      <c r="E46" s="6" t="s">
        <v>16</v>
      </c>
      <c r="F46" s="6" t="s">
        <v>16</v>
      </c>
      <c r="G46" s="6" t="s">
        <v>16</v>
      </c>
      <c r="H46" s="6" t="s">
        <v>16</v>
      </c>
      <c r="I46" s="6" t="s">
        <v>16</v>
      </c>
    </row>
    <row r="47" spans="1:9">
      <c r="B47" s="8"/>
      <c r="C47" s="8"/>
      <c r="D47" s="8"/>
      <c r="E47" s="8"/>
      <c r="F47" s="8"/>
      <c r="G47" s="8"/>
      <c r="H47" s="8"/>
      <c r="I47" s="8"/>
    </row>
    <row r="48" spans="1:9">
      <c r="B48" s="16" t="s">
        <v>52</v>
      </c>
      <c r="C48" s="9">
        <v>-897</v>
      </c>
      <c r="D48" s="9">
        <v>-72</v>
      </c>
      <c r="E48" s="9">
        <v>646</v>
      </c>
      <c r="F48" s="9">
        <v>348</v>
      </c>
      <c r="G48" s="9">
        <v>109</v>
      </c>
      <c r="H48" s="9">
        <v>165</v>
      </c>
      <c r="I48" s="9">
        <v>170</v>
      </c>
    </row>
    <row r="49" spans="2:9">
      <c r="B49" s="16" t="s">
        <v>53</v>
      </c>
      <c r="C49" s="9">
        <v>-897</v>
      </c>
      <c r="D49" s="9">
        <v>-72</v>
      </c>
      <c r="E49" s="9">
        <v>646</v>
      </c>
      <c r="F49" s="9">
        <v>348</v>
      </c>
      <c r="G49" s="9">
        <v>109</v>
      </c>
      <c r="H49" s="9">
        <v>165</v>
      </c>
      <c r="I49" s="9">
        <v>170</v>
      </c>
    </row>
    <row r="50" spans="2:9">
      <c r="B50" s="8"/>
      <c r="C50" s="8"/>
      <c r="D50" s="8"/>
      <c r="E50" s="8"/>
      <c r="F50" s="8"/>
      <c r="G50" s="8"/>
      <c r="H50" s="8"/>
      <c r="I50" s="8"/>
    </row>
    <row r="51" spans="2:9">
      <c r="B51" s="16" t="s">
        <v>54</v>
      </c>
      <c r="C51" s="8"/>
      <c r="D51" s="8"/>
      <c r="E51" s="8"/>
      <c r="F51" s="8"/>
      <c r="G51" s="8"/>
      <c r="H51" s="8"/>
      <c r="I51" s="8"/>
    </row>
    <row r="52" spans="2:9">
      <c r="B52" s="8" t="s">
        <v>55</v>
      </c>
      <c r="C52" s="11">
        <v>-10.19</v>
      </c>
      <c r="D52" s="11">
        <v>-0.82</v>
      </c>
      <c r="E52" s="11">
        <v>7.34</v>
      </c>
      <c r="F52" s="11">
        <v>4.24</v>
      </c>
      <c r="G52" s="11">
        <v>1.4</v>
      </c>
      <c r="H52" s="11">
        <v>2.09</v>
      </c>
      <c r="I52" s="11">
        <v>2.11</v>
      </c>
    </row>
    <row r="53" spans="2:9">
      <c r="B53" s="8" t="s">
        <v>56</v>
      </c>
      <c r="C53" s="12">
        <v>-10.19</v>
      </c>
      <c r="D53" s="12">
        <v>-0.82</v>
      </c>
      <c r="E53" s="12">
        <v>7.3409089999999999</v>
      </c>
      <c r="F53" s="12">
        <v>4.2439020000000003</v>
      </c>
      <c r="G53" s="12">
        <v>1.397435</v>
      </c>
      <c r="H53" s="12">
        <v>2.0886070000000001</v>
      </c>
      <c r="I53" s="12">
        <v>2.1118009999999998</v>
      </c>
    </row>
    <row r="54" spans="2:9">
      <c r="B54" s="8" t="s">
        <v>57</v>
      </c>
      <c r="C54" s="6">
        <v>88</v>
      </c>
      <c r="D54" s="6">
        <v>88</v>
      </c>
      <c r="E54" s="6">
        <v>88</v>
      </c>
      <c r="F54" s="6">
        <v>82</v>
      </c>
      <c r="G54" s="6">
        <v>78</v>
      </c>
      <c r="H54" s="6">
        <v>79</v>
      </c>
      <c r="I54" s="6">
        <v>80.5</v>
      </c>
    </row>
    <row r="55" spans="2:9">
      <c r="B55" s="8"/>
      <c r="C55" s="8"/>
      <c r="D55" s="8"/>
      <c r="E55" s="8"/>
      <c r="F55" s="8"/>
      <c r="G55" s="8"/>
      <c r="H55" s="8"/>
      <c r="I55" s="8"/>
    </row>
    <row r="56" spans="2:9">
      <c r="B56" s="8" t="s">
        <v>58</v>
      </c>
      <c r="C56" s="11">
        <v>-10.19</v>
      </c>
      <c r="D56" s="11">
        <v>-0.82</v>
      </c>
      <c r="E56" s="11">
        <v>7.18</v>
      </c>
      <c r="F56" s="11">
        <v>4.1399999999999997</v>
      </c>
      <c r="G56" s="11">
        <v>1.39</v>
      </c>
      <c r="H56" s="11">
        <v>2.0499999999999998</v>
      </c>
      <c r="I56" s="11">
        <v>2.08</v>
      </c>
    </row>
    <row r="57" spans="2:9">
      <c r="B57" s="8" t="s">
        <v>59</v>
      </c>
      <c r="C57" s="12">
        <v>-10.19</v>
      </c>
      <c r="D57" s="12">
        <v>-0.82</v>
      </c>
      <c r="E57" s="12">
        <v>7.18</v>
      </c>
      <c r="F57" s="12">
        <v>4.1399999999999997</v>
      </c>
      <c r="G57" s="12">
        <v>1.39</v>
      </c>
      <c r="H57" s="12">
        <v>2.0499999999999998</v>
      </c>
      <c r="I57" s="12">
        <v>2.081575</v>
      </c>
    </row>
    <row r="58" spans="2:9">
      <c r="B58" s="8" t="s">
        <v>60</v>
      </c>
      <c r="C58" s="6">
        <v>88</v>
      </c>
      <c r="D58" s="6">
        <v>88</v>
      </c>
      <c r="E58" s="6">
        <v>90</v>
      </c>
      <c r="F58" s="6">
        <v>84</v>
      </c>
      <c r="G58" s="6">
        <v>79</v>
      </c>
      <c r="H58" s="6">
        <v>81</v>
      </c>
      <c r="I58" s="6">
        <v>82.5</v>
      </c>
    </row>
    <row r="59" spans="2:9">
      <c r="B59" s="8"/>
      <c r="C59" s="8"/>
      <c r="D59" s="8"/>
      <c r="E59" s="8"/>
      <c r="F59" s="8"/>
      <c r="G59" s="8"/>
      <c r="H59" s="8"/>
      <c r="I59" s="8"/>
    </row>
    <row r="60" spans="2:9">
      <c r="B60" s="8" t="s">
        <v>61</v>
      </c>
      <c r="C60" s="11">
        <v>0.6</v>
      </c>
      <c r="D60" s="11">
        <v>1.05</v>
      </c>
      <c r="E60" s="11">
        <v>5.99</v>
      </c>
      <c r="F60" s="11">
        <v>3.68</v>
      </c>
      <c r="G60" s="11">
        <v>1.54</v>
      </c>
      <c r="H60" s="11">
        <v>1.83</v>
      </c>
      <c r="I60" s="11">
        <v>1.9</v>
      </c>
    </row>
    <row r="61" spans="2:9">
      <c r="B61" s="8" t="s">
        <v>62</v>
      </c>
      <c r="C61" s="12">
        <v>0.59658999999999995</v>
      </c>
      <c r="D61" s="12">
        <v>1.0511360000000001</v>
      </c>
      <c r="E61" s="12">
        <v>5.8541660000000002</v>
      </c>
      <c r="F61" s="12">
        <v>3.59375</v>
      </c>
      <c r="G61" s="12">
        <v>1.5174049999999999</v>
      </c>
      <c r="H61" s="12">
        <v>1.787037</v>
      </c>
      <c r="I61" s="12">
        <v>1.857575</v>
      </c>
    </row>
    <row r="62" spans="2:9">
      <c r="B62" s="8"/>
      <c r="C62" s="8"/>
      <c r="D62" s="8"/>
      <c r="E62" s="8"/>
      <c r="F62" s="8"/>
      <c r="G62" s="8"/>
      <c r="H62" s="8"/>
      <c r="I62" s="8"/>
    </row>
    <row r="63" spans="2:9">
      <c r="B63" s="8" t="s">
        <v>63</v>
      </c>
      <c r="C63" s="12" t="s">
        <v>17</v>
      </c>
      <c r="D63" s="12" t="s">
        <v>17</v>
      </c>
      <c r="E63" s="12" t="s">
        <v>17</v>
      </c>
      <c r="F63" s="12" t="s">
        <v>17</v>
      </c>
      <c r="G63" s="12" t="s">
        <v>17</v>
      </c>
      <c r="H63" s="12" t="s">
        <v>17</v>
      </c>
      <c r="I63" s="12" t="s">
        <v>17</v>
      </c>
    </row>
    <row r="64" spans="2:9">
      <c r="B64" s="8"/>
      <c r="C64" s="8"/>
      <c r="D64" s="8"/>
      <c r="E64" s="8"/>
      <c r="F64" s="8"/>
      <c r="G64" s="8"/>
      <c r="H64" s="8"/>
      <c r="I64" s="8"/>
    </row>
    <row r="65" spans="1:9" hidden="1">
      <c r="A65" t="s">
        <v>93</v>
      </c>
      <c r="B65" s="16" t="s">
        <v>64</v>
      </c>
      <c r="C65" s="8"/>
      <c r="D65" s="8"/>
      <c r="E65" s="8"/>
      <c r="F65" s="8"/>
      <c r="G65" s="8"/>
      <c r="H65" s="8"/>
      <c r="I65" s="8"/>
    </row>
    <row r="66" spans="1:9" hidden="1">
      <c r="B66" s="8" t="s">
        <v>65</v>
      </c>
      <c r="C66" s="6">
        <v>502</v>
      </c>
      <c r="D66" s="6">
        <v>479</v>
      </c>
      <c r="E66" s="6">
        <v>1173</v>
      </c>
      <c r="F66" s="6">
        <v>802</v>
      </c>
      <c r="G66" s="6">
        <v>586</v>
      </c>
      <c r="H66" s="6">
        <v>585</v>
      </c>
      <c r="I66" s="6">
        <v>590</v>
      </c>
    </row>
    <row r="67" spans="1:9" hidden="1">
      <c r="B67" s="8" t="s">
        <v>66</v>
      </c>
      <c r="C67" s="6">
        <v>91</v>
      </c>
      <c r="D67" s="6">
        <v>153</v>
      </c>
      <c r="E67" s="6">
        <v>870</v>
      </c>
      <c r="F67" s="6">
        <v>528</v>
      </c>
      <c r="G67" s="6">
        <v>327</v>
      </c>
      <c r="H67" s="6">
        <v>352</v>
      </c>
      <c r="I67" s="6">
        <v>364</v>
      </c>
    </row>
    <row r="68" spans="1:9" hidden="1">
      <c r="B68" s="8" t="s">
        <v>67</v>
      </c>
      <c r="C68" s="6">
        <v>91</v>
      </c>
      <c r="D68" s="6">
        <v>153</v>
      </c>
      <c r="E68" s="6">
        <v>870</v>
      </c>
      <c r="F68" s="6">
        <v>528</v>
      </c>
      <c r="G68" s="6">
        <v>302</v>
      </c>
      <c r="H68" s="6">
        <v>327</v>
      </c>
      <c r="I68" s="6">
        <v>339</v>
      </c>
    </row>
    <row r="69" spans="1:9" hidden="1">
      <c r="B69" s="8" t="s">
        <v>68</v>
      </c>
      <c r="C69" s="6" t="s">
        <v>17</v>
      </c>
      <c r="D69" s="6">
        <v>1011</v>
      </c>
      <c r="E69" s="6">
        <v>1641</v>
      </c>
      <c r="F69" s="6">
        <v>1276</v>
      </c>
      <c r="G69" s="6">
        <v>1085</v>
      </c>
      <c r="H69" s="6">
        <v>1098</v>
      </c>
      <c r="I69" s="6" t="s">
        <v>17</v>
      </c>
    </row>
    <row r="70" spans="1:9" hidden="1">
      <c r="B70" s="8" t="s">
        <v>69</v>
      </c>
      <c r="C70" s="13" t="s">
        <v>207</v>
      </c>
      <c r="D70" s="13" t="s">
        <v>207</v>
      </c>
      <c r="E70" s="13">
        <v>0.23368900000000001</v>
      </c>
      <c r="F70" s="13">
        <v>0.18944800000000001</v>
      </c>
      <c r="G70" s="13">
        <v>0.21088399999999999</v>
      </c>
      <c r="H70" s="13">
        <v>0.235294</v>
      </c>
      <c r="I70" s="13">
        <v>0.22784799999999999</v>
      </c>
    </row>
    <row r="71" spans="1:9" hidden="1">
      <c r="B71" s="8" t="s">
        <v>70</v>
      </c>
      <c r="C71" s="6">
        <v>9</v>
      </c>
      <c r="D71" s="6">
        <v>23</v>
      </c>
      <c r="E71" s="6">
        <v>173</v>
      </c>
      <c r="F71" s="6">
        <v>89</v>
      </c>
      <c r="G71" s="6">
        <v>29</v>
      </c>
      <c r="H71" s="6">
        <v>63</v>
      </c>
      <c r="I71" s="6">
        <v>63</v>
      </c>
    </row>
    <row r="72" spans="1:9" hidden="1">
      <c r="B72" s="8" t="s">
        <v>71</v>
      </c>
      <c r="C72" s="6">
        <v>19</v>
      </c>
      <c r="D72" s="6">
        <v>7</v>
      </c>
      <c r="E72" s="6">
        <v>23</v>
      </c>
      <c r="F72" s="6">
        <v>18</v>
      </c>
      <c r="G72" s="6">
        <v>18</v>
      </c>
      <c r="H72" s="6">
        <v>18</v>
      </c>
      <c r="I72" s="6">
        <v>18</v>
      </c>
    </row>
    <row r="73" spans="1:9" hidden="1">
      <c r="B73" s="8" t="s">
        <v>72</v>
      </c>
      <c r="C73" s="6">
        <v>28</v>
      </c>
      <c r="D73" s="6">
        <v>30</v>
      </c>
      <c r="E73" s="6">
        <v>196</v>
      </c>
      <c r="F73" s="6">
        <v>107</v>
      </c>
      <c r="G73" s="6">
        <v>47</v>
      </c>
      <c r="H73" s="6">
        <v>81</v>
      </c>
      <c r="I73" s="6">
        <v>81</v>
      </c>
    </row>
    <row r="74" spans="1:9" hidden="1">
      <c r="B74" s="8" t="s">
        <v>73</v>
      </c>
      <c r="C74" s="6">
        <v>-11</v>
      </c>
      <c r="D74" s="6">
        <v>-82</v>
      </c>
      <c r="E74" s="6">
        <v>2</v>
      </c>
      <c r="F74" s="6">
        <v>-24</v>
      </c>
      <c r="G74" s="6">
        <v>-16</v>
      </c>
      <c r="H74" s="6">
        <v>-32</v>
      </c>
      <c r="I74" s="6">
        <v>-32</v>
      </c>
    </row>
    <row r="75" spans="1:9" hidden="1">
      <c r="B75" s="8" t="s">
        <v>74</v>
      </c>
      <c r="C75" s="6">
        <v>-19</v>
      </c>
      <c r="D75" s="6">
        <v>18</v>
      </c>
      <c r="E75" s="6">
        <v>-1</v>
      </c>
      <c r="F75" s="6">
        <v>-4</v>
      </c>
      <c r="G75" s="6" t="s">
        <v>17</v>
      </c>
      <c r="H75" s="6">
        <v>3</v>
      </c>
      <c r="I75" s="6">
        <v>3</v>
      </c>
    </row>
    <row r="76" spans="1:9" hidden="1">
      <c r="B76" s="8" t="s">
        <v>75</v>
      </c>
      <c r="C76" s="6">
        <v>-30</v>
      </c>
      <c r="D76" s="6">
        <v>-64</v>
      </c>
      <c r="E76" s="6">
        <v>1</v>
      </c>
      <c r="F76" s="6">
        <v>-28</v>
      </c>
      <c r="G76" s="6">
        <v>-16</v>
      </c>
      <c r="H76" s="6">
        <v>-29</v>
      </c>
      <c r="I76" s="6">
        <v>-29</v>
      </c>
    </row>
    <row r="77" spans="1:9" hidden="1">
      <c r="B77" s="8"/>
      <c r="C77" s="8"/>
      <c r="D77" s="8"/>
      <c r="E77" s="8"/>
      <c r="F77" s="8"/>
      <c r="G77" s="8"/>
      <c r="H77" s="8"/>
      <c r="I77" s="8"/>
    </row>
    <row r="78" spans="1:9" hidden="1">
      <c r="B78" s="8" t="s">
        <v>76</v>
      </c>
      <c r="C78" s="6">
        <v>52.5</v>
      </c>
      <c r="D78" s="6">
        <v>92.5</v>
      </c>
      <c r="E78" s="6">
        <v>526.875</v>
      </c>
      <c r="F78" s="6">
        <v>301.875</v>
      </c>
      <c r="G78" s="6">
        <v>119.875</v>
      </c>
      <c r="H78" s="6">
        <v>144.75</v>
      </c>
      <c r="I78" s="6">
        <v>153.25</v>
      </c>
    </row>
    <row r="79" spans="1:9" hidden="1">
      <c r="B79" s="8" t="s">
        <v>222</v>
      </c>
      <c r="C79" s="6">
        <v>8</v>
      </c>
      <c r="D79" s="6" t="s">
        <v>16</v>
      </c>
      <c r="E79" s="6" t="s">
        <v>16</v>
      </c>
      <c r="F79" s="6" t="s">
        <v>16</v>
      </c>
      <c r="G79" s="6" t="s">
        <v>16</v>
      </c>
      <c r="H79" s="6" t="s">
        <v>16</v>
      </c>
      <c r="I79" s="6" t="s">
        <v>16</v>
      </c>
    </row>
    <row r="80" spans="1:9" hidden="1">
      <c r="B80" s="8" t="s">
        <v>77</v>
      </c>
      <c r="C80" s="14">
        <v>44638</v>
      </c>
      <c r="D80" s="14">
        <v>45002</v>
      </c>
      <c r="E80" s="14">
        <v>45373</v>
      </c>
      <c r="F80" s="14">
        <v>45737</v>
      </c>
      <c r="G80" s="14">
        <v>45737</v>
      </c>
      <c r="H80" s="14">
        <v>45737</v>
      </c>
      <c r="I80" s="14">
        <v>45996</v>
      </c>
    </row>
    <row r="81" spans="1:9" hidden="1">
      <c r="B81" s="8" t="s">
        <v>78</v>
      </c>
      <c r="C81" s="15" t="s">
        <v>96</v>
      </c>
      <c r="D81" s="15" t="s">
        <v>18</v>
      </c>
      <c r="E81" s="15" t="s">
        <v>96</v>
      </c>
      <c r="F81" s="15" t="s">
        <v>18</v>
      </c>
      <c r="G81" s="15" t="s">
        <v>18</v>
      </c>
      <c r="H81" s="15" t="s">
        <v>15</v>
      </c>
      <c r="I81" s="15" t="s">
        <v>15</v>
      </c>
    </row>
    <row r="82" spans="1:9" hidden="1">
      <c r="B82" s="8" t="s">
        <v>79</v>
      </c>
      <c r="C82" s="15" t="s">
        <v>19</v>
      </c>
      <c r="D82" s="15" t="s">
        <v>19</v>
      </c>
      <c r="E82" s="15" t="s">
        <v>19</v>
      </c>
      <c r="F82" s="15" t="s">
        <v>19</v>
      </c>
      <c r="G82" s="15" t="s">
        <v>19</v>
      </c>
      <c r="H82" s="15" t="s">
        <v>19</v>
      </c>
      <c r="I82" s="15" t="s">
        <v>20</v>
      </c>
    </row>
    <row r="83" spans="1:9" hidden="1">
      <c r="B83" s="8"/>
      <c r="C83" s="8"/>
      <c r="D83" s="8"/>
      <c r="E83" s="8"/>
      <c r="F83" s="8"/>
      <c r="G83" s="8"/>
      <c r="H83" s="8"/>
      <c r="I83" s="8"/>
    </row>
    <row r="84" spans="1:9" hidden="1">
      <c r="A84" t="s">
        <v>93</v>
      </c>
      <c r="B84" s="16" t="s">
        <v>80</v>
      </c>
      <c r="C84" s="8"/>
      <c r="D84" s="8"/>
      <c r="E84" s="8"/>
      <c r="F84" s="8"/>
      <c r="G84" s="8"/>
      <c r="H84" s="8"/>
      <c r="I84" s="8"/>
    </row>
    <row r="85" spans="1:9" hidden="1">
      <c r="B85" s="8" t="s">
        <v>81</v>
      </c>
      <c r="C85" s="6" t="s">
        <v>17</v>
      </c>
      <c r="D85" s="6">
        <v>239</v>
      </c>
      <c r="E85" s="6">
        <v>334</v>
      </c>
      <c r="F85" s="6">
        <v>344</v>
      </c>
      <c r="G85" s="6">
        <v>454</v>
      </c>
      <c r="H85" s="6">
        <v>429</v>
      </c>
      <c r="I85" s="6" t="s">
        <v>17</v>
      </c>
    </row>
    <row r="86" spans="1:9" hidden="1">
      <c r="B86" s="8" t="s">
        <v>223</v>
      </c>
      <c r="C86" s="6">
        <v>306</v>
      </c>
      <c r="D86" s="6" t="s">
        <v>17</v>
      </c>
      <c r="E86" s="6" t="s">
        <v>17</v>
      </c>
      <c r="F86" s="6" t="s">
        <v>17</v>
      </c>
      <c r="G86" s="6" t="s">
        <v>17</v>
      </c>
      <c r="H86" s="6" t="s">
        <v>17</v>
      </c>
      <c r="I86" s="6" t="s">
        <v>17</v>
      </c>
    </row>
    <row r="87" spans="1:9" hidden="1">
      <c r="B87" s="8" t="s">
        <v>82</v>
      </c>
      <c r="C87" s="6">
        <v>306</v>
      </c>
      <c r="D87" s="6">
        <v>239</v>
      </c>
      <c r="E87" s="6">
        <v>334</v>
      </c>
      <c r="F87" s="6">
        <v>344</v>
      </c>
      <c r="G87" s="6">
        <v>454</v>
      </c>
      <c r="H87" s="6">
        <v>429</v>
      </c>
      <c r="I87" s="6">
        <v>429</v>
      </c>
    </row>
    <row r="88" spans="1:9" hidden="1">
      <c r="B88" s="8" t="s">
        <v>83</v>
      </c>
      <c r="C88" s="6" t="s">
        <v>17</v>
      </c>
      <c r="D88" s="6">
        <v>77</v>
      </c>
      <c r="E88" s="6" t="s">
        <v>17</v>
      </c>
      <c r="F88" s="6" t="s">
        <v>17</v>
      </c>
      <c r="G88" s="6" t="s">
        <v>17</v>
      </c>
      <c r="H88" s="6" t="s">
        <v>17</v>
      </c>
      <c r="I88" s="6" t="s">
        <v>17</v>
      </c>
    </row>
    <row r="89" spans="1:9" hidden="1">
      <c r="B89" s="8" t="s">
        <v>84</v>
      </c>
      <c r="C89" s="6" t="s">
        <v>17</v>
      </c>
      <c r="D89" s="6">
        <v>532</v>
      </c>
      <c r="E89" s="6">
        <v>468</v>
      </c>
      <c r="F89" s="6">
        <v>474</v>
      </c>
      <c r="G89" s="6">
        <v>499</v>
      </c>
      <c r="H89" s="6">
        <v>513</v>
      </c>
      <c r="I89" s="6" t="s">
        <v>17</v>
      </c>
    </row>
    <row r="90" spans="1:9" hidden="1">
      <c r="B90" s="8" t="s">
        <v>85</v>
      </c>
      <c r="C90" s="6" t="s">
        <v>16</v>
      </c>
      <c r="D90" s="6">
        <v>10.81024</v>
      </c>
      <c r="E90" s="6">
        <v>42.951168000000003</v>
      </c>
      <c r="F90" s="6">
        <v>83.924543999999997</v>
      </c>
      <c r="G90" s="6">
        <v>143.999424</v>
      </c>
      <c r="H90" s="6">
        <v>130.69188</v>
      </c>
      <c r="I90" s="6" t="s">
        <v>16</v>
      </c>
    </row>
    <row r="91" spans="1:9" hidden="1">
      <c r="B91" s="8" t="s">
        <v>86</v>
      </c>
      <c r="C91" s="6" t="s">
        <v>16</v>
      </c>
      <c r="D91" s="6">
        <v>521.18975999999998</v>
      </c>
      <c r="E91" s="6">
        <v>425.048832</v>
      </c>
      <c r="F91" s="6">
        <v>390.07545599999997</v>
      </c>
      <c r="G91" s="6">
        <v>355.00057600000002</v>
      </c>
      <c r="H91" s="6">
        <v>382.30811999999997</v>
      </c>
      <c r="I91" s="6" t="s">
        <v>16</v>
      </c>
    </row>
    <row r="92" spans="1:9" hidden="1">
      <c r="B92" s="8"/>
      <c r="C92" s="8"/>
      <c r="D92" s="8"/>
      <c r="E92" s="8"/>
      <c r="F92" s="8"/>
      <c r="G92" s="8"/>
      <c r="H92" s="8"/>
      <c r="I92" s="8"/>
    </row>
    <row r="93" spans="1:9" hidden="1">
      <c r="B93" s="8" t="s">
        <v>87</v>
      </c>
      <c r="C93" s="6">
        <v>15</v>
      </c>
      <c r="D93" s="6">
        <v>9</v>
      </c>
      <c r="E93" s="6">
        <v>12</v>
      </c>
      <c r="F93" s="6">
        <v>18</v>
      </c>
      <c r="G93" s="6">
        <v>17</v>
      </c>
      <c r="H93" s="6">
        <v>20</v>
      </c>
      <c r="I93" s="6">
        <v>20</v>
      </c>
    </row>
    <row r="94" spans="1:9" hidden="1">
      <c r="B94" s="8" t="s">
        <v>88</v>
      </c>
      <c r="C94" s="6">
        <v>23</v>
      </c>
      <c r="D94" s="6">
        <v>16</v>
      </c>
      <c r="E94" s="6">
        <v>21</v>
      </c>
      <c r="F94" s="6">
        <v>30</v>
      </c>
      <c r="G94" s="6">
        <v>39</v>
      </c>
      <c r="H94" s="6">
        <v>40</v>
      </c>
      <c r="I94" s="6">
        <v>40</v>
      </c>
    </row>
    <row r="95" spans="1:9" hidden="1">
      <c r="B95" s="8" t="s">
        <v>89</v>
      </c>
      <c r="C95" s="6" t="s">
        <v>16</v>
      </c>
      <c r="D95" s="6" t="s">
        <v>16</v>
      </c>
      <c r="E95" s="6" t="s">
        <v>16</v>
      </c>
      <c r="F95" s="6" t="s">
        <v>16</v>
      </c>
      <c r="G95" s="6" t="s">
        <v>16</v>
      </c>
      <c r="H95" s="6" t="s">
        <v>16</v>
      </c>
      <c r="I95" s="6">
        <v>-4</v>
      </c>
    </row>
    <row r="96" spans="1:9" hidden="1">
      <c r="A96" t="s">
        <v>93</v>
      </c>
      <c r="B96" s="16" t="s">
        <v>90</v>
      </c>
      <c r="C96" s="9">
        <v>38</v>
      </c>
      <c r="D96" s="9">
        <v>25</v>
      </c>
      <c r="E96" s="9">
        <v>33</v>
      </c>
      <c r="F96" s="9">
        <v>48</v>
      </c>
      <c r="G96" s="9">
        <v>56</v>
      </c>
      <c r="H96" s="9">
        <v>60</v>
      </c>
      <c r="I96" s="9">
        <v>56</v>
      </c>
    </row>
    <row r="99" spans="1:9">
      <c r="B99" s="17" t="str">
        <f>Cover!$B$7</f>
        <v>Victoria’s Secret &amp; Co</v>
      </c>
      <c r="C99" s="17"/>
      <c r="D99" s="17"/>
      <c r="E99" s="17"/>
      <c r="F99" s="2"/>
      <c r="G99" s="2"/>
      <c r="H99" s="2"/>
      <c r="I99" s="2"/>
    </row>
    <row r="100" spans="1:9">
      <c r="B100" s="17" t="s">
        <v>94</v>
      </c>
      <c r="C100" s="17"/>
      <c r="D100" s="17"/>
      <c r="E100" s="17"/>
      <c r="F100" s="2"/>
      <c r="G100" s="2"/>
      <c r="H100" s="2"/>
      <c r="I100" s="2"/>
    </row>
    <row r="102" spans="1:9">
      <c r="C102" t="str">
        <f>C4</f>
        <v>2019A</v>
      </c>
      <c r="D102" t="str">
        <f>D4</f>
        <v>2020A</v>
      </c>
      <c r="E102" t="str">
        <f t="shared" ref="E102:I102" si="0">E4</f>
        <v>2021A</v>
      </c>
      <c r="F102" t="str">
        <f t="shared" si="0"/>
        <v>2022A</v>
      </c>
      <c r="G102" t="str">
        <f t="shared" si="0"/>
        <v>2023A</v>
      </c>
      <c r="H102" t="str">
        <f t="shared" si="0"/>
        <v>2024A</v>
      </c>
      <c r="I102" t="str">
        <f t="shared" si="0"/>
        <v>2025LTM</v>
      </c>
    </row>
    <row r="103" spans="1:9">
      <c r="A103" t="s">
        <v>93</v>
      </c>
      <c r="B103" s="16" t="s">
        <v>97</v>
      </c>
      <c r="C103" s="16"/>
      <c r="D103" s="16"/>
      <c r="E103" s="16"/>
    </row>
    <row r="104" spans="1:9">
      <c r="B104" s="8" t="s">
        <v>98</v>
      </c>
      <c r="C104" s="6">
        <v>245</v>
      </c>
      <c r="D104" s="6">
        <v>335</v>
      </c>
      <c r="E104" s="6">
        <v>490</v>
      </c>
      <c r="F104" s="6">
        <v>427</v>
      </c>
      <c r="G104" s="6">
        <v>270</v>
      </c>
      <c r="H104" s="6">
        <v>227</v>
      </c>
      <c r="I104" s="6">
        <v>249</v>
      </c>
    </row>
    <row r="105" spans="1:9">
      <c r="B105" s="16" t="s">
        <v>99</v>
      </c>
      <c r="C105" s="7">
        <v>245</v>
      </c>
      <c r="D105" s="7">
        <v>335</v>
      </c>
      <c r="E105" s="7">
        <v>490</v>
      </c>
      <c r="F105" s="7">
        <v>427</v>
      </c>
      <c r="G105" s="7">
        <v>270</v>
      </c>
      <c r="H105" s="7">
        <v>227</v>
      </c>
      <c r="I105" s="7">
        <v>249</v>
      </c>
    </row>
    <row r="106" spans="1:9">
      <c r="B106" s="8"/>
      <c r="C106" s="8"/>
      <c r="D106" s="8"/>
      <c r="E106" s="8"/>
      <c r="F106" s="8"/>
      <c r="G106" s="8"/>
      <c r="H106" s="8"/>
      <c r="I106" s="8"/>
    </row>
    <row r="107" spans="1:9">
      <c r="B107" s="8" t="s">
        <v>100</v>
      </c>
      <c r="C107" s="6">
        <v>157</v>
      </c>
      <c r="D107" s="6">
        <v>121</v>
      </c>
      <c r="E107" s="6">
        <v>162</v>
      </c>
      <c r="F107" s="6">
        <v>141</v>
      </c>
      <c r="G107" s="6">
        <v>152</v>
      </c>
      <c r="H107" s="6">
        <v>159</v>
      </c>
      <c r="I107" s="6">
        <v>190</v>
      </c>
    </row>
    <row r="108" spans="1:9">
      <c r="B108" s="16" t="s">
        <v>101</v>
      </c>
      <c r="C108" s="7">
        <v>157</v>
      </c>
      <c r="D108" s="7">
        <v>121</v>
      </c>
      <c r="E108" s="7">
        <v>162</v>
      </c>
      <c r="F108" s="7">
        <v>141</v>
      </c>
      <c r="G108" s="7">
        <v>152</v>
      </c>
      <c r="H108" s="7">
        <v>159</v>
      </c>
      <c r="I108" s="7">
        <v>190</v>
      </c>
    </row>
    <row r="109" spans="1:9">
      <c r="B109" s="8"/>
      <c r="C109" s="8"/>
      <c r="D109" s="8"/>
      <c r="E109" s="8"/>
      <c r="F109" s="8"/>
      <c r="G109" s="8"/>
      <c r="H109" s="8"/>
      <c r="I109" s="8"/>
    </row>
    <row r="110" spans="1:9">
      <c r="B110" s="8" t="s">
        <v>102</v>
      </c>
      <c r="C110" s="6">
        <v>855</v>
      </c>
      <c r="D110" s="6">
        <v>701</v>
      </c>
      <c r="E110" s="6">
        <v>949</v>
      </c>
      <c r="F110" s="6">
        <v>1052</v>
      </c>
      <c r="G110" s="6">
        <v>985</v>
      </c>
      <c r="H110" s="6">
        <v>955</v>
      </c>
      <c r="I110" s="6">
        <v>1377</v>
      </c>
    </row>
    <row r="111" spans="1:9">
      <c r="B111" s="8"/>
      <c r="C111" s="6">
        <v>49</v>
      </c>
      <c r="D111" s="6"/>
      <c r="E111" s="6"/>
      <c r="F111" s="6"/>
      <c r="G111" s="6"/>
      <c r="H111" s="6"/>
      <c r="I111" s="6"/>
    </row>
    <row r="112" spans="1:9">
      <c r="B112" s="8" t="s">
        <v>103</v>
      </c>
      <c r="C112" s="6">
        <v>52</v>
      </c>
      <c r="D112" s="6">
        <v>82</v>
      </c>
      <c r="E112" s="6">
        <v>90</v>
      </c>
      <c r="F112" s="6">
        <v>117</v>
      </c>
      <c r="G112" s="6">
        <v>126</v>
      </c>
      <c r="H112" s="6">
        <v>100</v>
      </c>
      <c r="I112" s="6">
        <v>129</v>
      </c>
    </row>
    <row r="113" spans="2:9">
      <c r="B113" s="16" t="s">
        <v>104</v>
      </c>
      <c r="C113" s="7">
        <v>1358</v>
      </c>
      <c r="D113" s="7">
        <v>1239</v>
      </c>
      <c r="E113" s="7">
        <v>1691</v>
      </c>
      <c r="F113" s="7">
        <v>1737</v>
      </c>
      <c r="G113" s="7">
        <v>1533</v>
      </c>
      <c r="H113" s="7">
        <v>1441</v>
      </c>
      <c r="I113" s="7">
        <v>1945</v>
      </c>
    </row>
    <row r="114" spans="2:9">
      <c r="B114" s="8"/>
      <c r="C114" s="8"/>
      <c r="D114" s="8"/>
      <c r="E114" s="8"/>
      <c r="F114" s="8"/>
      <c r="G114" s="8"/>
      <c r="H114" s="8"/>
      <c r="I114" s="8"/>
    </row>
    <row r="115" spans="2:9">
      <c r="B115" s="8" t="s">
        <v>105</v>
      </c>
      <c r="C115" s="6">
        <v>6291</v>
      </c>
      <c r="D115" s="6">
        <v>5382</v>
      </c>
      <c r="E115" s="6">
        <v>5164</v>
      </c>
      <c r="F115" s="6">
        <v>4948</v>
      </c>
      <c r="G115" s="6">
        <v>4967</v>
      </c>
      <c r="H115" s="6">
        <v>4984</v>
      </c>
      <c r="I115" s="6">
        <v>5096</v>
      </c>
    </row>
    <row r="116" spans="2:9">
      <c r="B116" s="8" t="s">
        <v>106</v>
      </c>
      <c r="C116" s="6">
        <v>-2728</v>
      </c>
      <c r="D116" s="6">
        <v>-2714</v>
      </c>
      <c r="E116" s="6">
        <v>-2838</v>
      </c>
      <c r="F116" s="6">
        <v>-2870</v>
      </c>
      <c r="G116" s="6">
        <v>-2773</v>
      </c>
      <c r="H116" s="6">
        <v>-2729</v>
      </c>
      <c r="I116" s="6">
        <v>-2735</v>
      </c>
    </row>
    <row r="117" spans="2:9">
      <c r="B117" s="16" t="s">
        <v>107</v>
      </c>
      <c r="C117" s="7">
        <v>3563</v>
      </c>
      <c r="D117" s="7">
        <v>2668</v>
      </c>
      <c r="E117" s="7">
        <v>2326</v>
      </c>
      <c r="F117" s="7">
        <v>2078</v>
      </c>
      <c r="G117" s="7">
        <v>2194</v>
      </c>
      <c r="H117" s="7">
        <v>2255</v>
      </c>
      <c r="I117" s="7">
        <v>2361</v>
      </c>
    </row>
    <row r="118" spans="2:9">
      <c r="B118" s="8"/>
      <c r="C118" s="8"/>
      <c r="D118" s="8"/>
      <c r="E118" s="8"/>
      <c r="F118" s="8"/>
      <c r="G118" s="8"/>
      <c r="H118" s="8"/>
      <c r="I118" s="8"/>
    </row>
    <row r="119" spans="2:9">
      <c r="B119" s="8" t="s">
        <v>108</v>
      </c>
      <c r="C119" s="6">
        <v>38</v>
      </c>
      <c r="D119" s="6">
        <v>35</v>
      </c>
      <c r="E119" s="6">
        <v>35</v>
      </c>
      <c r="F119" s="6">
        <v>56</v>
      </c>
      <c r="G119" s="6">
        <v>60</v>
      </c>
      <c r="H119" s="6">
        <v>47</v>
      </c>
      <c r="I119" s="6">
        <v>48</v>
      </c>
    </row>
    <row r="120" spans="2:9">
      <c r="B120" s="8" t="s">
        <v>109</v>
      </c>
      <c r="C120" s="6" t="s">
        <v>16</v>
      </c>
      <c r="D120" s="6" t="s">
        <v>16</v>
      </c>
      <c r="E120" s="6" t="s">
        <v>16</v>
      </c>
      <c r="F120" s="6">
        <v>365</v>
      </c>
      <c r="G120" s="6">
        <v>367</v>
      </c>
      <c r="H120" s="6">
        <v>367</v>
      </c>
      <c r="I120" s="6">
        <v>367</v>
      </c>
    </row>
    <row r="121" spans="2:9">
      <c r="B121" s="8" t="s">
        <v>110</v>
      </c>
      <c r="C121" s="6">
        <v>246</v>
      </c>
      <c r="D121" s="6">
        <v>246</v>
      </c>
      <c r="E121" s="6">
        <v>246</v>
      </c>
      <c r="F121" s="6">
        <v>426</v>
      </c>
      <c r="G121" s="6">
        <v>400</v>
      </c>
      <c r="H121" s="6">
        <v>376</v>
      </c>
      <c r="I121" s="6">
        <v>357</v>
      </c>
    </row>
    <row r="122" spans="2:9">
      <c r="B122" s="8" t="s">
        <v>111</v>
      </c>
      <c r="C122" s="6">
        <v>25</v>
      </c>
      <c r="D122" s="6">
        <v>20</v>
      </c>
      <c r="E122" s="6">
        <v>17</v>
      </c>
      <c r="F122" s="6">
        <v>18</v>
      </c>
      <c r="G122" s="6">
        <v>20</v>
      </c>
      <c r="H122" s="6">
        <v>22</v>
      </c>
      <c r="I122" s="6">
        <v>22</v>
      </c>
    </row>
    <row r="123" spans="2:9">
      <c r="B123" s="8" t="s">
        <v>112</v>
      </c>
      <c r="C123" s="6">
        <v>40</v>
      </c>
      <c r="D123" s="6">
        <v>21</v>
      </c>
      <c r="E123" s="6">
        <v>29</v>
      </c>
      <c r="F123" s="6">
        <v>31</v>
      </c>
      <c r="G123" s="6">
        <v>26</v>
      </c>
      <c r="H123" s="6">
        <v>24</v>
      </c>
      <c r="I123" s="6">
        <v>34</v>
      </c>
    </row>
    <row r="124" spans="2:9">
      <c r="B124" s="16" t="s">
        <v>113</v>
      </c>
      <c r="C124" s="10">
        <v>5270</v>
      </c>
      <c r="D124" s="10">
        <v>4229</v>
      </c>
      <c r="E124" s="10">
        <v>4344</v>
      </c>
      <c r="F124" s="10">
        <v>4711</v>
      </c>
      <c r="G124" s="10">
        <v>4600</v>
      </c>
      <c r="H124" s="10">
        <v>4532</v>
      </c>
      <c r="I124" s="10">
        <v>5134</v>
      </c>
    </row>
    <row r="125" spans="2:9">
      <c r="B125" s="8"/>
      <c r="C125" s="8"/>
      <c r="D125" s="8"/>
      <c r="E125" s="8"/>
      <c r="F125" s="8"/>
      <c r="G125" s="8"/>
      <c r="H125" s="8"/>
      <c r="I125" s="8"/>
    </row>
    <row r="126" spans="2:9">
      <c r="B126" s="16" t="s">
        <v>114</v>
      </c>
      <c r="C126" s="8"/>
      <c r="D126" s="8"/>
      <c r="E126" s="8"/>
      <c r="F126" s="8"/>
      <c r="G126" s="8"/>
      <c r="H126" s="8"/>
      <c r="I126" s="8"/>
    </row>
    <row r="127" spans="2:9">
      <c r="B127" s="8" t="s">
        <v>115</v>
      </c>
      <c r="C127" s="6">
        <v>384</v>
      </c>
      <c r="D127" s="6">
        <v>338</v>
      </c>
      <c r="E127" s="6">
        <v>538</v>
      </c>
      <c r="F127" s="6">
        <v>481</v>
      </c>
      <c r="G127" s="6">
        <v>513</v>
      </c>
      <c r="H127" s="6">
        <v>419</v>
      </c>
      <c r="I127" s="6">
        <v>546</v>
      </c>
    </row>
    <row r="128" spans="2:9">
      <c r="B128" s="8" t="s">
        <v>116</v>
      </c>
      <c r="C128" s="6">
        <v>221</v>
      </c>
      <c r="D128" s="6">
        <v>391</v>
      </c>
      <c r="E128" s="6">
        <v>328</v>
      </c>
      <c r="F128" s="6">
        <v>276</v>
      </c>
      <c r="G128" s="6">
        <v>255</v>
      </c>
      <c r="H128" s="6">
        <v>266</v>
      </c>
      <c r="I128" s="6">
        <v>299</v>
      </c>
    </row>
    <row r="129" spans="2:9">
      <c r="B129" s="8" t="s">
        <v>117</v>
      </c>
      <c r="C129" s="6">
        <v>61</v>
      </c>
      <c r="D129" s="6" t="s">
        <v>16</v>
      </c>
      <c r="E129" s="6">
        <v>4</v>
      </c>
      <c r="F129" s="6">
        <v>4</v>
      </c>
      <c r="G129" s="6">
        <v>4</v>
      </c>
      <c r="H129" s="6">
        <v>4</v>
      </c>
      <c r="I129" s="6">
        <v>4</v>
      </c>
    </row>
    <row r="130" spans="2:9">
      <c r="B130" s="8" t="s">
        <v>118</v>
      </c>
      <c r="C130" s="6">
        <v>341</v>
      </c>
      <c r="D130" s="6">
        <v>421</v>
      </c>
      <c r="E130" s="6">
        <v>340</v>
      </c>
      <c r="F130" s="6">
        <v>310</v>
      </c>
      <c r="G130" s="6">
        <v>267</v>
      </c>
      <c r="H130" s="6">
        <v>287</v>
      </c>
      <c r="I130" s="6">
        <v>284</v>
      </c>
    </row>
    <row r="131" spans="2:9">
      <c r="B131" s="8" t="s">
        <v>119</v>
      </c>
      <c r="C131" s="6">
        <v>32</v>
      </c>
      <c r="D131" s="6">
        <v>15</v>
      </c>
      <c r="E131" s="6">
        <v>102</v>
      </c>
      <c r="F131" s="6">
        <v>47</v>
      </c>
      <c r="G131" s="6">
        <v>20</v>
      </c>
      <c r="H131" s="6">
        <v>32</v>
      </c>
      <c r="I131" s="6">
        <v>11</v>
      </c>
    </row>
    <row r="132" spans="2:9">
      <c r="B132" s="8" t="s">
        <v>120</v>
      </c>
      <c r="C132" s="6">
        <v>238</v>
      </c>
      <c r="D132" s="6">
        <v>246</v>
      </c>
      <c r="E132" s="6">
        <v>250</v>
      </c>
      <c r="F132" s="6">
        <v>291</v>
      </c>
      <c r="G132" s="6">
        <v>295</v>
      </c>
      <c r="H132" s="6">
        <v>256</v>
      </c>
      <c r="I132" s="6">
        <v>229</v>
      </c>
    </row>
    <row r="133" spans="2:9">
      <c r="B133" s="8" t="s">
        <v>121</v>
      </c>
      <c r="C133" s="6">
        <v>163</v>
      </c>
      <c r="D133" s="6">
        <v>145</v>
      </c>
      <c r="E133" s="6">
        <v>136</v>
      </c>
      <c r="F133" s="6">
        <v>170</v>
      </c>
      <c r="G133" s="6">
        <v>260</v>
      </c>
      <c r="H133" s="6">
        <v>111</v>
      </c>
      <c r="I133" s="6">
        <v>118</v>
      </c>
    </row>
    <row r="134" spans="2:9">
      <c r="B134" s="16" t="s">
        <v>122</v>
      </c>
      <c r="C134" s="7">
        <v>1440</v>
      </c>
      <c r="D134" s="7">
        <v>1556</v>
      </c>
      <c r="E134" s="7">
        <v>1698</v>
      </c>
      <c r="F134" s="7">
        <v>1579</v>
      </c>
      <c r="G134" s="7">
        <v>1614</v>
      </c>
      <c r="H134" s="7">
        <v>1375</v>
      </c>
      <c r="I134" s="7">
        <v>1491</v>
      </c>
    </row>
    <row r="135" spans="2:9">
      <c r="B135" s="8"/>
      <c r="C135" s="8"/>
      <c r="D135" s="8"/>
      <c r="E135" s="8"/>
      <c r="F135" s="8"/>
      <c r="G135" s="8"/>
      <c r="H135" s="8"/>
      <c r="I135" s="8"/>
    </row>
    <row r="136" spans="2:9">
      <c r="B136" s="8" t="s">
        <v>123</v>
      </c>
      <c r="C136" s="6">
        <v>92</v>
      </c>
      <c r="D136" s="6">
        <v>97</v>
      </c>
      <c r="E136" s="6">
        <v>978</v>
      </c>
      <c r="F136" s="6">
        <v>1271</v>
      </c>
      <c r="G136" s="6">
        <v>1120</v>
      </c>
      <c r="H136" s="6">
        <v>973</v>
      </c>
      <c r="I136" s="6">
        <v>1347</v>
      </c>
    </row>
    <row r="137" spans="2:9">
      <c r="B137" s="8" t="s">
        <v>124</v>
      </c>
      <c r="C137" s="6">
        <v>2158</v>
      </c>
      <c r="D137" s="6">
        <v>1553</v>
      </c>
      <c r="E137" s="6">
        <v>1314</v>
      </c>
      <c r="F137" s="6">
        <v>1201</v>
      </c>
      <c r="G137" s="6">
        <v>1312</v>
      </c>
      <c r="H137" s="6">
        <v>1434</v>
      </c>
      <c r="I137" s="6">
        <v>1551</v>
      </c>
    </row>
    <row r="138" spans="2:9">
      <c r="B138" s="8" t="s">
        <v>125</v>
      </c>
      <c r="C138" s="6" t="s">
        <v>16</v>
      </c>
      <c r="D138" s="6" t="s">
        <v>16</v>
      </c>
      <c r="E138" s="6" t="s">
        <v>16</v>
      </c>
      <c r="F138" s="6" t="s">
        <v>16</v>
      </c>
      <c r="G138" s="6" t="s">
        <v>16</v>
      </c>
      <c r="H138" s="6">
        <v>13</v>
      </c>
      <c r="I138" s="6">
        <v>10</v>
      </c>
    </row>
    <row r="139" spans="2:9">
      <c r="B139" s="8" t="s">
        <v>126</v>
      </c>
      <c r="C139" s="6">
        <v>89</v>
      </c>
      <c r="D139" s="6">
        <v>19</v>
      </c>
      <c r="E139" s="6">
        <v>58</v>
      </c>
      <c r="F139" s="6">
        <v>53</v>
      </c>
      <c r="G139" s="6">
        <v>37</v>
      </c>
      <c r="H139" s="6">
        <v>11</v>
      </c>
      <c r="I139" s="6">
        <v>13</v>
      </c>
    </row>
    <row r="140" spans="2:9">
      <c r="B140" s="8" t="s">
        <v>127</v>
      </c>
      <c r="C140" s="6">
        <v>177</v>
      </c>
      <c r="D140" s="6">
        <v>113</v>
      </c>
      <c r="E140" s="6">
        <v>39</v>
      </c>
      <c r="F140" s="6">
        <v>206</v>
      </c>
      <c r="G140" s="6">
        <v>79</v>
      </c>
      <c r="H140" s="6">
        <v>62</v>
      </c>
      <c r="I140" s="6">
        <v>33</v>
      </c>
    </row>
    <row r="141" spans="2:9">
      <c r="B141" s="16" t="s">
        <v>128</v>
      </c>
      <c r="C141" s="7">
        <v>3956</v>
      </c>
      <c r="D141" s="7">
        <v>3338</v>
      </c>
      <c r="E141" s="7">
        <v>4087</v>
      </c>
      <c r="F141" s="7">
        <v>4310</v>
      </c>
      <c r="G141" s="7">
        <v>4162</v>
      </c>
      <c r="H141" s="7">
        <v>3868</v>
      </c>
      <c r="I141" s="7">
        <v>4445</v>
      </c>
    </row>
    <row r="142" spans="2:9">
      <c r="B142" s="8"/>
      <c r="C142" s="8"/>
      <c r="D142" s="8"/>
      <c r="E142" s="8"/>
      <c r="F142" s="8"/>
      <c r="G142" s="8"/>
      <c r="H142" s="8"/>
      <c r="I142" s="8"/>
    </row>
    <row r="143" spans="2:9">
      <c r="B143" s="8" t="s">
        <v>129</v>
      </c>
      <c r="C143" s="6">
        <v>1341</v>
      </c>
      <c r="D143" s="6">
        <v>887</v>
      </c>
      <c r="E143" s="6">
        <v>1</v>
      </c>
      <c r="F143" s="6">
        <v>1</v>
      </c>
      <c r="G143" s="6">
        <v>1</v>
      </c>
      <c r="H143" s="6">
        <v>1</v>
      </c>
      <c r="I143" s="6">
        <v>1</v>
      </c>
    </row>
    <row r="144" spans="2:9">
      <c r="B144" s="8" t="s">
        <v>130</v>
      </c>
      <c r="C144" s="6" t="s">
        <v>16</v>
      </c>
      <c r="D144" s="6" t="s">
        <v>16</v>
      </c>
      <c r="E144" s="6">
        <v>125</v>
      </c>
      <c r="F144" s="6">
        <v>195</v>
      </c>
      <c r="G144" s="6">
        <v>238</v>
      </c>
      <c r="H144" s="6">
        <v>297</v>
      </c>
      <c r="I144" s="6">
        <v>330</v>
      </c>
    </row>
    <row r="145" spans="1:9">
      <c r="B145" s="8" t="s">
        <v>131</v>
      </c>
      <c r="C145" s="6" t="s">
        <v>16</v>
      </c>
      <c r="D145" s="6" t="s">
        <v>16</v>
      </c>
      <c r="E145" s="6">
        <v>126</v>
      </c>
      <c r="F145" s="6">
        <v>186</v>
      </c>
      <c r="G145" s="6">
        <v>178</v>
      </c>
      <c r="H145" s="6">
        <v>343</v>
      </c>
      <c r="I145" s="6">
        <v>320</v>
      </c>
    </row>
    <row r="146" spans="1:9">
      <c r="B146" s="8" t="s">
        <v>132</v>
      </c>
      <c r="C146" s="6" t="s">
        <v>16</v>
      </c>
      <c r="D146" s="6" t="s">
        <v>16</v>
      </c>
      <c r="E146" s="6" t="s">
        <v>16</v>
      </c>
      <c r="F146" s="6" t="s">
        <v>16</v>
      </c>
      <c r="G146" s="6" t="s">
        <v>16</v>
      </c>
      <c r="H146" s="6" t="s">
        <v>16</v>
      </c>
      <c r="I146" s="6" t="s">
        <v>16</v>
      </c>
    </row>
    <row r="147" spans="1:9">
      <c r="B147" s="8" t="s">
        <v>133</v>
      </c>
      <c r="C147" s="6">
        <v>-29</v>
      </c>
      <c r="D147" s="6">
        <v>4</v>
      </c>
      <c r="E147" s="6">
        <v>5</v>
      </c>
      <c r="F147" s="6">
        <v>1</v>
      </c>
      <c r="G147" s="6" t="s">
        <v>16</v>
      </c>
      <c r="H147" s="6">
        <v>-1</v>
      </c>
      <c r="I147" s="6">
        <v>2</v>
      </c>
    </row>
    <row r="148" spans="1:9">
      <c r="B148" s="16" t="s">
        <v>134</v>
      </c>
      <c r="C148" s="7">
        <v>1312</v>
      </c>
      <c r="D148" s="7">
        <v>891</v>
      </c>
      <c r="E148" s="7">
        <v>257</v>
      </c>
      <c r="F148" s="7">
        <v>383</v>
      </c>
      <c r="G148" s="7">
        <v>417</v>
      </c>
      <c r="H148" s="7">
        <v>640</v>
      </c>
      <c r="I148" s="7">
        <v>653</v>
      </c>
    </row>
    <row r="149" spans="1:9">
      <c r="B149" s="8"/>
      <c r="C149" s="8"/>
      <c r="D149" s="8"/>
      <c r="E149" s="8"/>
      <c r="F149" s="8"/>
      <c r="G149" s="8"/>
      <c r="H149" s="8"/>
      <c r="I149" s="8"/>
    </row>
    <row r="150" spans="1:9">
      <c r="B150" s="8" t="s">
        <v>135</v>
      </c>
      <c r="C150" s="6">
        <v>2</v>
      </c>
      <c r="D150" s="6" t="s">
        <v>16</v>
      </c>
      <c r="E150" s="6" t="s">
        <v>16</v>
      </c>
      <c r="F150" s="6">
        <v>18</v>
      </c>
      <c r="G150" s="6">
        <v>21</v>
      </c>
      <c r="H150" s="6">
        <v>24</v>
      </c>
      <c r="I150" s="6">
        <v>36</v>
      </c>
    </row>
    <row r="151" spans="1:9">
      <c r="B151" s="8"/>
      <c r="C151" s="8"/>
      <c r="D151" s="8"/>
      <c r="E151" s="8"/>
      <c r="F151" s="8"/>
      <c r="G151" s="8"/>
      <c r="H151" s="8"/>
      <c r="I151" s="8"/>
    </row>
    <row r="152" spans="1:9">
      <c r="B152" s="16" t="s">
        <v>136</v>
      </c>
      <c r="C152" s="18">
        <v>1314</v>
      </c>
      <c r="D152" s="18">
        <v>891</v>
      </c>
      <c r="E152" s="18">
        <v>257</v>
      </c>
      <c r="F152" s="18">
        <v>401</v>
      </c>
      <c r="G152" s="18">
        <v>438</v>
      </c>
      <c r="H152" s="18">
        <v>664</v>
      </c>
      <c r="I152" s="18">
        <v>689</v>
      </c>
    </row>
    <row r="153" spans="1:9">
      <c r="B153" s="8"/>
      <c r="C153" s="8"/>
      <c r="D153" s="8"/>
      <c r="E153" s="8"/>
      <c r="F153" s="8"/>
      <c r="G153" s="8"/>
      <c r="H153" s="8"/>
      <c r="I153" s="8"/>
    </row>
    <row r="154" spans="1:9">
      <c r="A154" t="s">
        <v>93</v>
      </c>
      <c r="B154" s="16" t="s">
        <v>137</v>
      </c>
      <c r="C154" s="19">
        <v>5270</v>
      </c>
      <c r="D154" s="19">
        <v>4229</v>
      </c>
      <c r="E154" s="19">
        <v>4344</v>
      </c>
      <c r="F154" s="19">
        <v>4711</v>
      </c>
      <c r="G154" s="19">
        <v>4600</v>
      </c>
      <c r="H154" s="19">
        <v>4532</v>
      </c>
      <c r="I154" s="19">
        <v>5134</v>
      </c>
    </row>
    <row r="155" spans="1:9">
      <c r="B155" s="8"/>
      <c r="C155" s="8"/>
      <c r="D155" s="8"/>
      <c r="E155" s="8"/>
      <c r="F155" s="8"/>
      <c r="G155" s="8"/>
      <c r="H155" s="8"/>
      <c r="I155" s="8"/>
    </row>
    <row r="156" spans="1:9">
      <c r="A156" t="s">
        <v>93</v>
      </c>
      <c r="B156" s="16" t="s">
        <v>64</v>
      </c>
      <c r="C156" s="8"/>
      <c r="D156" s="8"/>
      <c r="E156" s="8"/>
      <c r="F156" s="8"/>
      <c r="G156" s="8"/>
      <c r="H156" s="8"/>
      <c r="I156" s="8"/>
    </row>
    <row r="157" spans="1:9">
      <c r="B157" s="8" t="s">
        <v>138</v>
      </c>
      <c r="C157" s="6">
        <v>88</v>
      </c>
      <c r="D157" s="6">
        <v>88</v>
      </c>
      <c r="E157" s="6">
        <v>84.313772</v>
      </c>
      <c r="F157" s="6">
        <v>77.746058000000005</v>
      </c>
      <c r="G157" s="6">
        <v>77.575912000000002</v>
      </c>
      <c r="H157" s="6">
        <v>78.888588999999996</v>
      </c>
      <c r="I157" s="6">
        <v>80.268923999999998</v>
      </c>
    </row>
    <row r="158" spans="1:9">
      <c r="B158" s="8" t="s">
        <v>139</v>
      </c>
      <c r="C158" s="6">
        <v>88</v>
      </c>
      <c r="D158" s="6">
        <v>88</v>
      </c>
      <c r="E158" s="6">
        <v>85</v>
      </c>
      <c r="F158" s="6">
        <v>80</v>
      </c>
      <c r="G158" s="6">
        <v>78</v>
      </c>
      <c r="H158" s="6">
        <v>79</v>
      </c>
      <c r="I158" s="6">
        <v>80</v>
      </c>
    </row>
    <row r="159" spans="1:9">
      <c r="B159" s="8" t="s">
        <v>140</v>
      </c>
      <c r="C159" s="12" t="s">
        <v>17</v>
      </c>
      <c r="D159" s="11">
        <v>10.130000000000001</v>
      </c>
      <c r="E159" s="11">
        <v>3.02</v>
      </c>
      <c r="F159" s="11">
        <v>4.79</v>
      </c>
      <c r="G159" s="11">
        <v>5.35</v>
      </c>
      <c r="H159" s="11">
        <v>8.1</v>
      </c>
      <c r="I159" s="11">
        <v>8.16</v>
      </c>
    </row>
    <row r="160" spans="1:9">
      <c r="B160" s="8" t="s">
        <v>141</v>
      </c>
      <c r="C160" s="6">
        <v>1066</v>
      </c>
      <c r="D160" s="6">
        <v>645</v>
      </c>
      <c r="E160" s="6">
        <v>11</v>
      </c>
      <c r="F160" s="6">
        <v>-408</v>
      </c>
      <c r="G160" s="6">
        <v>-350</v>
      </c>
      <c r="H160" s="6">
        <v>-103</v>
      </c>
      <c r="I160" s="6">
        <v>-71</v>
      </c>
    </row>
    <row r="161" spans="2:9">
      <c r="B161" s="8" t="s">
        <v>142</v>
      </c>
      <c r="C161" s="12" t="s">
        <v>17</v>
      </c>
      <c r="D161" s="11">
        <v>7.33</v>
      </c>
      <c r="E161" s="11">
        <v>0.13</v>
      </c>
      <c r="F161" s="11">
        <v>-5.0999999999999996</v>
      </c>
      <c r="G161" s="11">
        <v>-4.49</v>
      </c>
      <c r="H161" s="11">
        <v>-1.3</v>
      </c>
      <c r="I161" s="11">
        <v>-0.89</v>
      </c>
    </row>
    <row r="162" spans="2:9">
      <c r="B162" s="8" t="s">
        <v>143</v>
      </c>
      <c r="C162" s="6">
        <v>2652</v>
      </c>
      <c r="D162" s="6">
        <v>2071</v>
      </c>
      <c r="E162" s="6">
        <v>2636</v>
      </c>
      <c r="F162" s="6">
        <v>2786</v>
      </c>
      <c r="G162" s="6">
        <v>2703</v>
      </c>
      <c r="H162" s="6">
        <v>2698</v>
      </c>
      <c r="I162" s="6">
        <v>3186</v>
      </c>
    </row>
    <row r="163" spans="2:9">
      <c r="B163" s="8" t="s">
        <v>144</v>
      </c>
      <c r="C163" s="6">
        <v>2407</v>
      </c>
      <c r="D163" s="6">
        <v>1736</v>
      </c>
      <c r="E163" s="6">
        <v>2146</v>
      </c>
      <c r="F163" s="6">
        <v>2359</v>
      </c>
      <c r="G163" s="6">
        <v>2433</v>
      </c>
      <c r="H163" s="6">
        <v>2471</v>
      </c>
      <c r="I163" s="6">
        <v>2937</v>
      </c>
    </row>
    <row r="164" spans="2:9">
      <c r="B164" s="8" t="s">
        <v>145</v>
      </c>
      <c r="C164" s="6" t="s">
        <v>17</v>
      </c>
      <c r="D164" s="6">
        <v>66</v>
      </c>
      <c r="E164" s="6" t="s">
        <v>17</v>
      </c>
      <c r="F164" s="6" t="s">
        <v>17</v>
      </c>
      <c r="G164" s="6" t="s">
        <v>17</v>
      </c>
      <c r="H164" s="6" t="s">
        <v>17</v>
      </c>
      <c r="I164" s="6" t="s">
        <v>17</v>
      </c>
    </row>
    <row r="165" spans="2:9">
      <c r="B165" s="8" t="s">
        <v>146</v>
      </c>
      <c r="C165" s="6" t="s">
        <v>17</v>
      </c>
      <c r="D165" s="6">
        <v>4256</v>
      </c>
      <c r="E165" s="6">
        <v>3744</v>
      </c>
      <c r="F165" s="6">
        <v>3792</v>
      </c>
      <c r="G165" s="6">
        <v>3992</v>
      </c>
      <c r="H165" s="6">
        <v>4104</v>
      </c>
      <c r="I165" s="6" t="s">
        <v>17</v>
      </c>
    </row>
    <row r="166" spans="2:9">
      <c r="B166" s="8" t="s">
        <v>147</v>
      </c>
      <c r="C166" s="6">
        <v>2</v>
      </c>
      <c r="D166" s="6" t="s">
        <v>17</v>
      </c>
      <c r="E166" s="6" t="s">
        <v>17</v>
      </c>
      <c r="F166" s="6">
        <v>18</v>
      </c>
      <c r="G166" s="6">
        <v>21</v>
      </c>
      <c r="H166" s="6">
        <v>24</v>
      </c>
      <c r="I166" s="6">
        <v>36</v>
      </c>
    </row>
    <row r="167" spans="2:9">
      <c r="B167" s="8" t="s">
        <v>148</v>
      </c>
      <c r="C167" s="6">
        <v>38</v>
      </c>
      <c r="D167" s="6">
        <v>35</v>
      </c>
      <c r="E167" s="6">
        <v>35</v>
      </c>
      <c r="F167" s="6">
        <v>56</v>
      </c>
      <c r="G167" s="6">
        <v>60</v>
      </c>
      <c r="H167" s="6">
        <v>47</v>
      </c>
      <c r="I167" s="6">
        <v>48</v>
      </c>
    </row>
    <row r="168" spans="2:9">
      <c r="B168" s="8" t="s">
        <v>149</v>
      </c>
      <c r="C168" s="15" t="s">
        <v>17</v>
      </c>
      <c r="D168" s="15" t="s">
        <v>95</v>
      </c>
      <c r="E168" s="15" t="s">
        <v>95</v>
      </c>
      <c r="F168" s="15" t="s">
        <v>95</v>
      </c>
      <c r="G168" s="15" t="s">
        <v>95</v>
      </c>
      <c r="H168" s="15" t="s">
        <v>95</v>
      </c>
      <c r="I168" s="15" t="s">
        <v>17</v>
      </c>
    </row>
    <row r="169" spans="2:9">
      <c r="B169" s="8" t="s">
        <v>150</v>
      </c>
      <c r="C169" s="6">
        <v>31</v>
      </c>
      <c r="D169" s="6">
        <v>38</v>
      </c>
      <c r="E169" s="6">
        <v>51</v>
      </c>
      <c r="F169" s="6">
        <v>55</v>
      </c>
      <c r="G169" s="6">
        <v>56</v>
      </c>
      <c r="H169" s="6">
        <v>54</v>
      </c>
      <c r="I169" s="6">
        <v>55</v>
      </c>
    </row>
    <row r="170" spans="2:9">
      <c r="B170" s="8" t="s">
        <v>151</v>
      </c>
      <c r="C170" s="6">
        <v>824</v>
      </c>
      <c r="D170" s="6">
        <v>663</v>
      </c>
      <c r="E170" s="6">
        <v>898</v>
      </c>
      <c r="F170" s="6">
        <v>997</v>
      </c>
      <c r="G170" s="6">
        <v>929</v>
      </c>
      <c r="H170" s="6">
        <v>901</v>
      </c>
      <c r="I170" s="6">
        <v>1322</v>
      </c>
    </row>
    <row r="171" spans="2:9">
      <c r="B171" s="8" t="s">
        <v>152</v>
      </c>
      <c r="C171" s="6">
        <v>27</v>
      </c>
      <c r="D171" s="6">
        <v>26</v>
      </c>
      <c r="E171" s="6">
        <v>27</v>
      </c>
      <c r="F171" s="6">
        <v>28</v>
      </c>
      <c r="G171" s="6">
        <v>28</v>
      </c>
      <c r="H171" s="6">
        <v>28</v>
      </c>
      <c r="I171" s="6" t="s">
        <v>17</v>
      </c>
    </row>
    <row r="172" spans="2:9">
      <c r="B172" s="8" t="s">
        <v>153</v>
      </c>
      <c r="C172" s="6">
        <v>185</v>
      </c>
      <c r="D172" s="6">
        <v>190</v>
      </c>
      <c r="E172" s="6">
        <v>211</v>
      </c>
      <c r="F172" s="6">
        <v>219</v>
      </c>
      <c r="G172" s="6">
        <v>218</v>
      </c>
      <c r="H172" s="6">
        <v>219</v>
      </c>
      <c r="I172" s="6" t="s">
        <v>17</v>
      </c>
    </row>
    <row r="173" spans="2:9">
      <c r="B173" s="8" t="s">
        <v>154</v>
      </c>
      <c r="C173" s="6">
        <v>2188</v>
      </c>
      <c r="D173" s="6">
        <v>2462</v>
      </c>
      <c r="E173" s="6">
        <v>2409</v>
      </c>
      <c r="F173" s="6">
        <v>2394</v>
      </c>
      <c r="G173" s="6">
        <v>2308</v>
      </c>
      <c r="H173" s="6">
        <v>2225</v>
      </c>
      <c r="I173" s="6" t="s">
        <v>17</v>
      </c>
    </row>
    <row r="174" spans="2:9">
      <c r="B174" s="8" t="s">
        <v>155</v>
      </c>
      <c r="C174" s="6">
        <v>106</v>
      </c>
      <c r="D174" s="6">
        <v>23</v>
      </c>
      <c r="E174" s="6">
        <v>78</v>
      </c>
      <c r="F174" s="6">
        <v>57</v>
      </c>
      <c r="G174" s="6">
        <v>26</v>
      </c>
      <c r="H174" s="6">
        <v>27</v>
      </c>
      <c r="I174" s="6" t="s">
        <v>16</v>
      </c>
    </row>
    <row r="175" spans="2:9">
      <c r="B175" s="8" t="s">
        <v>156</v>
      </c>
      <c r="C175" s="6">
        <v>1645</v>
      </c>
      <c r="D175" s="6">
        <v>1091</v>
      </c>
      <c r="E175" s="6">
        <v>1070</v>
      </c>
      <c r="F175" s="6">
        <v>1018</v>
      </c>
      <c r="G175" s="6">
        <v>1036</v>
      </c>
      <c r="H175" s="6">
        <v>1004</v>
      </c>
      <c r="I175" s="6" t="s">
        <v>16</v>
      </c>
    </row>
    <row r="176" spans="2:9">
      <c r="B176" s="8" t="s">
        <v>157</v>
      </c>
      <c r="C176" s="20" t="s">
        <v>17</v>
      </c>
      <c r="D176" s="20">
        <v>11400</v>
      </c>
      <c r="E176" s="20">
        <v>14000</v>
      </c>
      <c r="F176" s="20">
        <v>14000</v>
      </c>
      <c r="G176" s="20">
        <v>13000</v>
      </c>
      <c r="H176" s="20">
        <v>13000</v>
      </c>
      <c r="I176" s="20" t="s">
        <v>17</v>
      </c>
    </row>
    <row r="177" spans="1:9">
      <c r="B177" s="8" t="s">
        <v>158</v>
      </c>
      <c r="C177" s="20" t="s">
        <v>17</v>
      </c>
      <c r="D177" s="20">
        <v>16500</v>
      </c>
      <c r="E177" s="20">
        <v>20000</v>
      </c>
      <c r="F177" s="20">
        <v>17000</v>
      </c>
      <c r="G177" s="20">
        <v>17000</v>
      </c>
      <c r="H177" s="20">
        <v>18000</v>
      </c>
      <c r="I177" s="20" t="s">
        <v>17</v>
      </c>
    </row>
    <row r="178" spans="1:9">
      <c r="B178" s="8" t="s">
        <v>221</v>
      </c>
      <c r="C178" s="6">
        <v>2140</v>
      </c>
      <c r="D178" s="6" t="s">
        <v>17</v>
      </c>
      <c r="E178" s="6" t="s">
        <v>17</v>
      </c>
      <c r="F178" s="6" t="s">
        <v>17</v>
      </c>
      <c r="G178" s="6" t="s">
        <v>17</v>
      </c>
      <c r="H178" s="6" t="s">
        <v>17</v>
      </c>
      <c r="I178" s="20"/>
    </row>
    <row r="179" spans="1:9">
      <c r="B179" s="8" t="s">
        <v>77</v>
      </c>
      <c r="C179" s="14">
        <v>44638</v>
      </c>
      <c r="D179" s="14">
        <v>45002</v>
      </c>
      <c r="E179" s="14">
        <v>45373</v>
      </c>
      <c r="F179" s="14">
        <v>45737</v>
      </c>
      <c r="G179" s="14">
        <v>45737</v>
      </c>
      <c r="H179" s="14">
        <v>45737</v>
      </c>
      <c r="I179" s="14">
        <v>45996</v>
      </c>
    </row>
    <row r="180" spans="1:9">
      <c r="B180" s="8" t="s">
        <v>78</v>
      </c>
      <c r="C180" s="15" t="s">
        <v>96</v>
      </c>
      <c r="D180" s="15" t="s">
        <v>96</v>
      </c>
      <c r="E180" s="15" t="s">
        <v>96</v>
      </c>
      <c r="F180" s="15" t="s">
        <v>96</v>
      </c>
      <c r="G180" s="15" t="s">
        <v>96</v>
      </c>
      <c r="H180" s="15" t="s">
        <v>15</v>
      </c>
      <c r="I180" s="15" t="s">
        <v>15</v>
      </c>
    </row>
    <row r="181" spans="1:9">
      <c r="B181" s="8" t="s">
        <v>79</v>
      </c>
      <c r="C181" s="15" t="s">
        <v>208</v>
      </c>
      <c r="D181" s="15" t="s">
        <v>208</v>
      </c>
      <c r="E181" s="15" t="s">
        <v>208</v>
      </c>
      <c r="F181" s="15" t="s">
        <v>208</v>
      </c>
      <c r="G181" s="15" t="s">
        <v>19</v>
      </c>
      <c r="H181" s="15" t="s">
        <v>19</v>
      </c>
      <c r="I181" s="15" t="s">
        <v>19</v>
      </c>
    </row>
    <row r="184" spans="1:9">
      <c r="B184" s="17" t="str">
        <f>B1</f>
        <v>Victoria’s Secret &amp; Co</v>
      </c>
      <c r="C184" s="17"/>
      <c r="D184" s="17"/>
      <c r="E184" s="17"/>
      <c r="F184" s="17"/>
      <c r="G184" s="17"/>
      <c r="H184" s="17"/>
      <c r="I184" s="17"/>
    </row>
    <row r="185" spans="1:9">
      <c r="B185" s="17" t="s">
        <v>159</v>
      </c>
      <c r="C185" s="17"/>
      <c r="D185" s="17"/>
      <c r="E185" s="17"/>
      <c r="F185" s="17"/>
      <c r="G185" s="17"/>
      <c r="H185" s="17"/>
      <c r="I185" s="17"/>
    </row>
    <row r="187" spans="1:9">
      <c r="C187" t="str">
        <f>C4</f>
        <v>2019A</v>
      </c>
      <c r="D187" t="str">
        <f>D4</f>
        <v>2020A</v>
      </c>
      <c r="E187" t="str">
        <f t="shared" ref="E187:I187" si="1">E4</f>
        <v>2021A</v>
      </c>
      <c r="F187" t="str">
        <f t="shared" si="1"/>
        <v>2022A</v>
      </c>
      <c r="G187" t="str">
        <f t="shared" si="1"/>
        <v>2023A</v>
      </c>
      <c r="H187" t="str">
        <f t="shared" si="1"/>
        <v>2024A</v>
      </c>
      <c r="I187" t="str">
        <f t="shared" si="1"/>
        <v>2025LTM</v>
      </c>
    </row>
    <row r="188" spans="1:9">
      <c r="A188" t="s">
        <v>93</v>
      </c>
      <c r="B188" s="16" t="s">
        <v>160</v>
      </c>
      <c r="C188" s="9">
        <v>-897</v>
      </c>
      <c r="D188" s="9">
        <v>-72</v>
      </c>
      <c r="E188" s="9">
        <v>646</v>
      </c>
      <c r="F188" s="9">
        <v>348</v>
      </c>
      <c r="G188" s="9">
        <v>109</v>
      </c>
      <c r="H188" s="9">
        <v>165</v>
      </c>
      <c r="I188" s="9">
        <v>170</v>
      </c>
    </row>
    <row r="189" spans="1:9">
      <c r="B189" s="8" t="s">
        <v>28</v>
      </c>
      <c r="C189" s="6">
        <v>411</v>
      </c>
      <c r="D189" s="6">
        <v>326</v>
      </c>
      <c r="E189" s="6">
        <v>303</v>
      </c>
      <c r="F189" s="6">
        <v>274</v>
      </c>
      <c r="G189" s="6">
        <v>259</v>
      </c>
      <c r="H189" s="6">
        <v>233</v>
      </c>
      <c r="I189" s="6">
        <v>226</v>
      </c>
    </row>
    <row r="190" spans="1:9">
      <c r="B190" s="8" t="s">
        <v>29</v>
      </c>
      <c r="C190" s="6" t="s">
        <v>16</v>
      </c>
      <c r="D190" s="6" t="s">
        <v>16</v>
      </c>
      <c r="E190" s="6" t="s">
        <v>16</v>
      </c>
      <c r="F190" s="6" t="s">
        <v>16</v>
      </c>
      <c r="G190" s="6">
        <v>25</v>
      </c>
      <c r="H190" s="6">
        <v>25</v>
      </c>
      <c r="I190" s="6">
        <v>25</v>
      </c>
    </row>
    <row r="191" spans="1:9">
      <c r="B191" s="16" t="s">
        <v>161</v>
      </c>
      <c r="C191" s="7">
        <v>411</v>
      </c>
      <c r="D191" s="7">
        <v>326</v>
      </c>
      <c r="E191" s="7">
        <v>303</v>
      </c>
      <c r="F191" s="7">
        <v>274</v>
      </c>
      <c r="G191" s="7">
        <v>284</v>
      </c>
      <c r="H191" s="7">
        <v>258</v>
      </c>
      <c r="I191" s="7">
        <v>251</v>
      </c>
    </row>
    <row r="192" spans="1:9">
      <c r="B192" s="8"/>
      <c r="C192" s="8"/>
      <c r="D192" s="8"/>
      <c r="E192" s="8"/>
      <c r="F192" s="8"/>
      <c r="G192" s="8"/>
      <c r="H192" s="8"/>
      <c r="I192" s="8"/>
    </row>
    <row r="193" spans="2:9">
      <c r="B193" s="8" t="s">
        <v>162</v>
      </c>
      <c r="C193" s="6" t="s">
        <v>16</v>
      </c>
      <c r="D193" s="6" t="s">
        <v>16</v>
      </c>
      <c r="E193" s="6" t="s">
        <v>16</v>
      </c>
      <c r="F193" s="6" t="s">
        <v>16</v>
      </c>
      <c r="G193" s="6" t="s">
        <v>16</v>
      </c>
      <c r="H193" s="6">
        <v>-7</v>
      </c>
      <c r="I193" s="6">
        <v>-1</v>
      </c>
    </row>
    <row r="194" spans="2:9">
      <c r="B194" s="8" t="s">
        <v>163</v>
      </c>
      <c r="C194" s="6" t="s">
        <v>16</v>
      </c>
      <c r="D194" s="6" t="s">
        <v>16</v>
      </c>
      <c r="E194" s="6" t="s">
        <v>16</v>
      </c>
      <c r="F194" s="6" t="s">
        <v>16</v>
      </c>
      <c r="G194" s="6" t="s">
        <v>16</v>
      </c>
      <c r="H194" s="6">
        <v>19</v>
      </c>
      <c r="I194" s="6">
        <v>19</v>
      </c>
    </row>
    <row r="195" spans="2:9">
      <c r="B195" s="8" t="s">
        <v>164</v>
      </c>
      <c r="C195" s="6">
        <v>983</v>
      </c>
      <c r="D195" s="6">
        <v>215</v>
      </c>
      <c r="E195" s="6" t="s">
        <v>16</v>
      </c>
      <c r="F195" s="6" t="s">
        <v>16</v>
      </c>
      <c r="G195" s="6" t="s">
        <v>16</v>
      </c>
      <c r="H195" s="6" t="s">
        <v>16</v>
      </c>
      <c r="I195" s="6" t="s">
        <v>16</v>
      </c>
    </row>
    <row r="196" spans="2:9">
      <c r="B196" s="8" t="s">
        <v>165</v>
      </c>
      <c r="C196" s="6" t="s">
        <v>16</v>
      </c>
      <c r="D196" s="6">
        <v>-54</v>
      </c>
      <c r="E196" s="6" t="s">
        <v>16</v>
      </c>
      <c r="F196" s="6" t="s">
        <v>16</v>
      </c>
      <c r="G196" s="6" t="s">
        <v>16</v>
      </c>
      <c r="H196" s="6" t="s">
        <v>16</v>
      </c>
      <c r="I196" s="6" t="s">
        <v>16</v>
      </c>
    </row>
    <row r="197" spans="2:9">
      <c r="B197" s="8" t="s">
        <v>166</v>
      </c>
      <c r="C197" s="6">
        <v>38</v>
      </c>
      <c r="D197" s="6">
        <v>25</v>
      </c>
      <c r="E197" s="6">
        <v>33</v>
      </c>
      <c r="F197" s="6">
        <v>48</v>
      </c>
      <c r="G197" s="6">
        <v>56</v>
      </c>
      <c r="H197" s="6">
        <v>60</v>
      </c>
      <c r="I197" s="6">
        <v>56</v>
      </c>
    </row>
    <row r="198" spans="2:9">
      <c r="B198" s="8" t="s">
        <v>167</v>
      </c>
      <c r="C198" s="6">
        <v>-30</v>
      </c>
      <c r="D198" s="6">
        <v>-64</v>
      </c>
      <c r="E198" s="6">
        <v>1</v>
      </c>
      <c r="F198" s="6">
        <v>-38</v>
      </c>
      <c r="G198" s="6">
        <v>20</v>
      </c>
      <c r="H198" s="6">
        <v>-64</v>
      </c>
      <c r="I198" s="6">
        <v>-54</v>
      </c>
    </row>
    <row r="199" spans="2:9">
      <c r="B199" s="8" t="s">
        <v>168</v>
      </c>
      <c r="C199" s="6">
        <v>14</v>
      </c>
      <c r="D199" s="6">
        <v>36</v>
      </c>
      <c r="E199" s="6">
        <v>-21</v>
      </c>
      <c r="F199" s="6">
        <v>22</v>
      </c>
      <c r="G199" s="6">
        <v>-13</v>
      </c>
      <c r="H199" s="6">
        <v>-8</v>
      </c>
      <c r="I199" s="6">
        <v>-26</v>
      </c>
    </row>
    <row r="200" spans="2:9">
      <c r="B200" s="8" t="s">
        <v>169</v>
      </c>
      <c r="C200" s="6">
        <v>20</v>
      </c>
      <c r="D200" s="6">
        <v>141</v>
      </c>
      <c r="E200" s="6">
        <v>-247</v>
      </c>
      <c r="F200" s="6">
        <v>0</v>
      </c>
      <c r="G200" s="6">
        <v>36</v>
      </c>
      <c r="H200" s="6">
        <v>29</v>
      </c>
      <c r="I200" s="6">
        <v>-86</v>
      </c>
    </row>
    <row r="201" spans="2:9">
      <c r="B201" s="8" t="s">
        <v>170</v>
      </c>
      <c r="C201" s="6">
        <v>-118</v>
      </c>
      <c r="D201" s="6">
        <v>49</v>
      </c>
      <c r="E201" s="6">
        <v>173</v>
      </c>
      <c r="F201" s="6">
        <v>-163</v>
      </c>
      <c r="G201" s="6">
        <v>-11</v>
      </c>
      <c r="H201" s="6">
        <v>-78</v>
      </c>
      <c r="I201" s="6">
        <v>109</v>
      </c>
    </row>
    <row r="202" spans="2:9">
      <c r="B202" s="8" t="s">
        <v>171</v>
      </c>
      <c r="C202" s="6">
        <v>-49</v>
      </c>
      <c r="D202" s="6">
        <v>-25</v>
      </c>
      <c r="E202" s="6">
        <v>119</v>
      </c>
      <c r="F202" s="6">
        <v>-67</v>
      </c>
      <c r="G202" s="6">
        <v>-26</v>
      </c>
      <c r="H202" s="6">
        <v>14</v>
      </c>
      <c r="I202" s="6">
        <v>39</v>
      </c>
    </row>
    <row r="203" spans="2:9">
      <c r="B203" s="8" t="s">
        <v>172</v>
      </c>
      <c r="C203" s="6">
        <v>-57</v>
      </c>
      <c r="D203" s="6">
        <v>97</v>
      </c>
      <c r="E203" s="6">
        <v>-156</v>
      </c>
      <c r="F203" s="6">
        <v>13</v>
      </c>
      <c r="G203" s="6">
        <v>-66</v>
      </c>
      <c r="H203" s="6">
        <v>37</v>
      </c>
      <c r="I203" s="6">
        <v>23</v>
      </c>
    </row>
    <row r="204" spans="2:9">
      <c r="B204" s="16" t="s">
        <v>173</v>
      </c>
      <c r="C204" s="7">
        <v>315</v>
      </c>
      <c r="D204" s="7">
        <v>674</v>
      </c>
      <c r="E204" s="7">
        <v>851</v>
      </c>
      <c r="F204" s="7">
        <v>437</v>
      </c>
      <c r="G204" s="7">
        <v>389</v>
      </c>
      <c r="H204" s="7">
        <v>425</v>
      </c>
      <c r="I204" s="7">
        <v>500</v>
      </c>
    </row>
    <row r="205" spans="2:9">
      <c r="B205" s="8"/>
      <c r="C205" s="8"/>
      <c r="D205" s="8"/>
      <c r="E205" s="8"/>
      <c r="F205" s="8"/>
      <c r="G205" s="8"/>
      <c r="H205" s="8"/>
      <c r="I205" s="8"/>
    </row>
    <row r="206" spans="2:9">
      <c r="B206" s="8" t="s">
        <v>174</v>
      </c>
      <c r="C206" s="6">
        <v>-225</v>
      </c>
      <c r="D206" s="6">
        <v>-127</v>
      </c>
      <c r="E206" s="6">
        <v>-169</v>
      </c>
      <c r="F206" s="6">
        <v>-164</v>
      </c>
      <c r="G206" s="6">
        <v>-256</v>
      </c>
      <c r="H206" s="6">
        <v>-178</v>
      </c>
      <c r="I206" s="6">
        <v>-191</v>
      </c>
    </row>
    <row r="207" spans="2:9">
      <c r="B207" s="8" t="s">
        <v>175</v>
      </c>
      <c r="C207" s="6" t="s">
        <v>16</v>
      </c>
      <c r="D207" s="6" t="s">
        <v>16</v>
      </c>
      <c r="E207" s="6" t="s">
        <v>16</v>
      </c>
      <c r="F207" s="6" t="s">
        <v>16</v>
      </c>
      <c r="G207" s="6" t="s">
        <v>16</v>
      </c>
      <c r="H207" s="6">
        <v>25</v>
      </c>
      <c r="I207" s="6">
        <v>9</v>
      </c>
    </row>
    <row r="208" spans="2:9">
      <c r="B208" s="8" t="s">
        <v>176</v>
      </c>
      <c r="C208" s="6" t="s">
        <v>16</v>
      </c>
      <c r="D208" s="6" t="s">
        <v>16</v>
      </c>
      <c r="E208" s="6" t="s">
        <v>16</v>
      </c>
      <c r="F208" s="6">
        <v>-369</v>
      </c>
      <c r="G208" s="6">
        <v>1</v>
      </c>
      <c r="H208" s="6" t="s">
        <v>16</v>
      </c>
      <c r="I208" s="6" t="s">
        <v>16</v>
      </c>
    </row>
    <row r="209" spans="2:9">
      <c r="B209" s="8" t="s">
        <v>177</v>
      </c>
      <c r="C209" s="6" t="s">
        <v>16</v>
      </c>
      <c r="D209" s="6" t="s">
        <v>16</v>
      </c>
      <c r="E209" s="6" t="s">
        <v>16</v>
      </c>
      <c r="F209" s="6" t="s">
        <v>16</v>
      </c>
      <c r="G209" s="6" t="s">
        <v>16</v>
      </c>
      <c r="H209" s="6" t="s">
        <v>16</v>
      </c>
      <c r="I209" s="6" t="s">
        <v>16</v>
      </c>
    </row>
    <row r="210" spans="2:9">
      <c r="B210" s="8" t="s">
        <v>178</v>
      </c>
      <c r="C210" s="6" t="s">
        <v>16</v>
      </c>
      <c r="D210" s="6" t="s">
        <v>16</v>
      </c>
      <c r="E210" s="6" t="s">
        <v>16</v>
      </c>
      <c r="F210" s="6">
        <v>-18</v>
      </c>
      <c r="G210" s="6" t="s">
        <v>16</v>
      </c>
      <c r="H210" s="6" t="s">
        <v>16</v>
      </c>
      <c r="I210" s="6" t="s">
        <v>16</v>
      </c>
    </row>
    <row r="211" spans="2:9">
      <c r="B211" s="8" t="s">
        <v>179</v>
      </c>
      <c r="C211" s="6" t="s">
        <v>16</v>
      </c>
      <c r="D211" s="6" t="s">
        <v>16</v>
      </c>
      <c r="E211" s="6" t="s">
        <v>16</v>
      </c>
      <c r="F211" s="6" t="s">
        <v>16</v>
      </c>
      <c r="G211" s="6" t="s">
        <v>16</v>
      </c>
      <c r="H211" s="6" t="s">
        <v>16</v>
      </c>
      <c r="I211" s="6" t="s">
        <v>16</v>
      </c>
    </row>
    <row r="212" spans="2:9">
      <c r="B212" s="8" t="s">
        <v>180</v>
      </c>
      <c r="C212" s="6">
        <v>-18</v>
      </c>
      <c r="D212" s="6">
        <v>4</v>
      </c>
      <c r="E212" s="6" t="s">
        <v>16</v>
      </c>
      <c r="F212" s="6">
        <v>-4</v>
      </c>
      <c r="G212" s="6">
        <v>1</v>
      </c>
      <c r="H212" s="6" t="s">
        <v>16</v>
      </c>
      <c r="I212" s="6">
        <v>-1</v>
      </c>
    </row>
    <row r="213" spans="2:9">
      <c r="B213" s="16" t="s">
        <v>181</v>
      </c>
      <c r="C213" s="7">
        <v>-243</v>
      </c>
      <c r="D213" s="7">
        <v>-123</v>
      </c>
      <c r="E213" s="7">
        <v>-169</v>
      </c>
      <c r="F213" s="7">
        <v>-555</v>
      </c>
      <c r="G213" s="7">
        <v>-254</v>
      </c>
      <c r="H213" s="7">
        <v>-153</v>
      </c>
      <c r="I213" s="7">
        <v>-183</v>
      </c>
    </row>
    <row r="214" spans="2:9">
      <c r="B214" s="8"/>
      <c r="C214" s="8"/>
      <c r="D214" s="8"/>
      <c r="E214" s="8"/>
      <c r="F214" s="8"/>
      <c r="G214" s="8"/>
      <c r="H214" s="8"/>
      <c r="I214" s="8"/>
    </row>
    <row r="215" spans="2:9">
      <c r="B215" s="8" t="s">
        <v>182</v>
      </c>
      <c r="C215" s="6" t="s">
        <v>16</v>
      </c>
      <c r="D215" s="6" t="s">
        <v>16</v>
      </c>
      <c r="E215" s="6" t="s">
        <v>16</v>
      </c>
      <c r="F215" s="6" t="s">
        <v>16</v>
      </c>
      <c r="G215" s="6" t="s">
        <v>16</v>
      </c>
      <c r="H215" s="6" t="s">
        <v>16</v>
      </c>
      <c r="I215" s="6" t="s">
        <v>16</v>
      </c>
    </row>
    <row r="216" spans="2:9">
      <c r="B216" s="8" t="s">
        <v>183</v>
      </c>
      <c r="C216" s="6">
        <v>167</v>
      </c>
      <c r="D216" s="6">
        <v>131</v>
      </c>
      <c r="E216" s="6">
        <v>982</v>
      </c>
      <c r="F216" s="6">
        <v>295</v>
      </c>
      <c r="G216" s="6">
        <v>465</v>
      </c>
      <c r="H216" s="6">
        <v>460</v>
      </c>
      <c r="I216" s="6" t="s">
        <v>16</v>
      </c>
    </row>
    <row r="217" spans="2:9">
      <c r="B217" s="16" t="s">
        <v>184</v>
      </c>
      <c r="C217" s="7">
        <v>167</v>
      </c>
      <c r="D217" s="7">
        <v>131</v>
      </c>
      <c r="E217" s="7">
        <v>982</v>
      </c>
      <c r="F217" s="7">
        <v>295</v>
      </c>
      <c r="G217" s="7">
        <v>465</v>
      </c>
      <c r="H217" s="7">
        <v>460</v>
      </c>
      <c r="I217" s="7">
        <v>545</v>
      </c>
    </row>
    <row r="218" spans="2:9">
      <c r="B218" s="8" t="s">
        <v>185</v>
      </c>
      <c r="C218" s="6" t="s">
        <v>16</v>
      </c>
      <c r="D218" s="6" t="s">
        <v>16</v>
      </c>
      <c r="E218" s="6" t="s">
        <v>16</v>
      </c>
      <c r="F218" s="6" t="s">
        <v>16</v>
      </c>
      <c r="G218" s="6" t="s">
        <v>16</v>
      </c>
      <c r="H218" s="6" t="s">
        <v>16</v>
      </c>
      <c r="I218" s="6" t="s">
        <v>16</v>
      </c>
    </row>
    <row r="219" spans="2:9">
      <c r="B219" s="8" t="s">
        <v>186</v>
      </c>
      <c r="C219" s="6">
        <v>-162</v>
      </c>
      <c r="D219" s="6">
        <v>-189</v>
      </c>
      <c r="E219" s="6">
        <v>-1</v>
      </c>
      <c r="F219" s="6">
        <v>-4</v>
      </c>
      <c r="G219" s="6">
        <v>-619</v>
      </c>
      <c r="H219" s="6">
        <v>-609</v>
      </c>
      <c r="I219" s="6" t="s">
        <v>16</v>
      </c>
    </row>
    <row r="220" spans="2:9">
      <c r="B220" s="16" t="s">
        <v>187</v>
      </c>
      <c r="C220" s="7">
        <v>-162</v>
      </c>
      <c r="D220" s="7">
        <v>-189</v>
      </c>
      <c r="E220" s="7">
        <v>-1</v>
      </c>
      <c r="F220" s="7">
        <v>-4</v>
      </c>
      <c r="G220" s="7">
        <v>-619</v>
      </c>
      <c r="H220" s="7">
        <v>-609</v>
      </c>
      <c r="I220" s="7">
        <v>-614</v>
      </c>
    </row>
    <row r="221" spans="2:9">
      <c r="B221" s="8"/>
      <c r="C221" s="8"/>
      <c r="D221" s="8"/>
      <c r="E221" s="8"/>
      <c r="F221" s="8"/>
      <c r="G221" s="8"/>
      <c r="H221" s="8"/>
      <c r="I221" s="8"/>
    </row>
    <row r="222" spans="2:9">
      <c r="B222" s="8" t="s">
        <v>188</v>
      </c>
      <c r="C222" s="6" t="s">
        <v>16</v>
      </c>
      <c r="D222" s="6" t="s">
        <v>16</v>
      </c>
      <c r="E222" s="6">
        <v>5</v>
      </c>
      <c r="F222" s="6">
        <v>5</v>
      </c>
      <c r="G222" s="6">
        <v>3</v>
      </c>
      <c r="H222" s="6">
        <v>5</v>
      </c>
      <c r="I222" s="6">
        <v>7</v>
      </c>
    </row>
    <row r="223" spans="2:9">
      <c r="B223" s="8" t="s">
        <v>189</v>
      </c>
      <c r="C223" s="6" t="s">
        <v>16</v>
      </c>
      <c r="D223" s="6" t="s">
        <v>16</v>
      </c>
      <c r="E223" s="6">
        <v>-254</v>
      </c>
      <c r="F223" s="6">
        <v>-292</v>
      </c>
      <c r="G223" s="6">
        <v>-137</v>
      </c>
      <c r="H223" s="6">
        <v>-10</v>
      </c>
      <c r="I223" s="6">
        <v>-14</v>
      </c>
    </row>
    <row r="224" spans="2:9">
      <c r="B224" s="8"/>
      <c r="C224" s="8"/>
      <c r="D224" s="8"/>
      <c r="E224" s="8"/>
      <c r="F224" s="8"/>
      <c r="G224" s="8"/>
      <c r="H224" s="8"/>
      <c r="I224" s="8"/>
    </row>
    <row r="225" spans="2:9">
      <c r="B225" s="16" t="s">
        <v>190</v>
      </c>
      <c r="C225" s="7" t="s">
        <v>16</v>
      </c>
      <c r="D225" s="7" t="s">
        <v>16</v>
      </c>
      <c r="E225" s="7" t="s">
        <v>16</v>
      </c>
      <c r="F225" s="7" t="s">
        <v>16</v>
      </c>
      <c r="G225" s="7" t="s">
        <v>16</v>
      </c>
      <c r="H225" s="7" t="s">
        <v>16</v>
      </c>
      <c r="I225" s="7" t="s">
        <v>16</v>
      </c>
    </row>
    <row r="226" spans="2:9">
      <c r="B226" s="8"/>
      <c r="C226" s="8"/>
      <c r="D226" s="8"/>
      <c r="E226" s="8"/>
      <c r="F226" s="8"/>
      <c r="G226" s="8"/>
      <c r="H226" s="8"/>
      <c r="I226" s="8"/>
    </row>
    <row r="227" spans="2:9">
      <c r="B227" s="8" t="s">
        <v>191</v>
      </c>
      <c r="C227" s="6" t="s">
        <v>16</v>
      </c>
      <c r="D227" s="6" t="s">
        <v>16</v>
      </c>
      <c r="E227" s="6" t="s">
        <v>16</v>
      </c>
      <c r="F227" s="6" t="s">
        <v>16</v>
      </c>
      <c r="G227" s="6" t="s">
        <v>16</v>
      </c>
      <c r="H227" s="6" t="s">
        <v>16</v>
      </c>
      <c r="I227" s="6" t="s">
        <v>16</v>
      </c>
    </row>
    <row r="228" spans="2:9">
      <c r="B228" s="8" t="s">
        <v>192</v>
      </c>
      <c r="C228" s="6">
        <v>-197</v>
      </c>
      <c r="D228" s="6">
        <v>-407</v>
      </c>
      <c r="E228" s="6">
        <v>-1259</v>
      </c>
      <c r="F228" s="6">
        <v>54</v>
      </c>
      <c r="G228" s="6">
        <v>-3</v>
      </c>
      <c r="H228" s="6">
        <v>-161</v>
      </c>
      <c r="I228" s="6">
        <v>-151</v>
      </c>
    </row>
    <row r="229" spans="2:9">
      <c r="B229" s="16" t="s">
        <v>193</v>
      </c>
      <c r="C229" s="7">
        <v>-192</v>
      </c>
      <c r="D229" s="7">
        <v>-465</v>
      </c>
      <c r="E229" s="7">
        <v>-527</v>
      </c>
      <c r="F229" s="7">
        <v>58</v>
      </c>
      <c r="G229" s="7">
        <v>-291</v>
      </c>
      <c r="H229" s="7">
        <v>-315</v>
      </c>
      <c r="I229" s="7">
        <v>-227</v>
      </c>
    </row>
    <row r="230" spans="2:9">
      <c r="B230" s="8"/>
      <c r="C230" s="8"/>
      <c r="D230" s="8"/>
      <c r="E230" s="8"/>
      <c r="F230" s="8"/>
      <c r="G230" s="8"/>
      <c r="H230" s="8"/>
      <c r="I230" s="8"/>
    </row>
    <row r="231" spans="2:9">
      <c r="B231" s="8" t="s">
        <v>194</v>
      </c>
      <c r="C231" s="6">
        <v>-4</v>
      </c>
      <c r="D231" s="6">
        <v>4</v>
      </c>
      <c r="E231" s="6" t="s">
        <v>16</v>
      </c>
      <c r="F231" s="6">
        <v>-3</v>
      </c>
      <c r="G231" s="6">
        <v>-1</v>
      </c>
      <c r="H231" s="6" t="s">
        <v>16</v>
      </c>
      <c r="I231" s="6">
        <v>-2</v>
      </c>
    </row>
    <row r="232" spans="2:9">
      <c r="B232" s="16" t="s">
        <v>195</v>
      </c>
      <c r="C232" s="10">
        <v>-124</v>
      </c>
      <c r="D232" s="10">
        <v>90</v>
      </c>
      <c r="E232" s="10">
        <v>155</v>
      </c>
      <c r="F232" s="10">
        <v>-63</v>
      </c>
      <c r="G232" s="10">
        <v>-157</v>
      </c>
      <c r="H232" s="10">
        <v>-43</v>
      </c>
      <c r="I232" s="10">
        <v>88</v>
      </c>
    </row>
    <row r="233" spans="2:9">
      <c r="B233" s="8"/>
      <c r="C233" s="8"/>
      <c r="D233" s="8"/>
      <c r="E233" s="8"/>
      <c r="F233" s="8"/>
      <c r="G233" s="8"/>
      <c r="H233" s="8"/>
      <c r="I233" s="8"/>
    </row>
    <row r="234" spans="2:9" hidden="1">
      <c r="B234" s="16" t="s">
        <v>64</v>
      </c>
      <c r="C234" s="8"/>
      <c r="D234" s="8"/>
      <c r="E234" s="8"/>
      <c r="F234" s="8"/>
      <c r="G234" s="8"/>
      <c r="H234" s="8"/>
      <c r="I234" s="8"/>
    </row>
    <row r="235" spans="2:9" hidden="1">
      <c r="B235" s="8" t="s">
        <v>196</v>
      </c>
      <c r="C235" s="6" t="s">
        <v>17</v>
      </c>
      <c r="D235" s="6" t="s">
        <v>17</v>
      </c>
      <c r="E235" s="6" t="s">
        <v>17</v>
      </c>
      <c r="F235" s="6">
        <v>52</v>
      </c>
      <c r="G235" s="6">
        <v>87</v>
      </c>
      <c r="H235" s="6">
        <v>77</v>
      </c>
      <c r="I235" s="6">
        <v>68</v>
      </c>
    </row>
    <row r="236" spans="2:9" hidden="1">
      <c r="B236" s="8" t="s">
        <v>197</v>
      </c>
      <c r="C236" s="6" t="s">
        <v>17</v>
      </c>
      <c r="D236" s="6" t="s">
        <v>17</v>
      </c>
      <c r="E236" s="6" t="s">
        <v>17</v>
      </c>
      <c r="F236" s="6">
        <v>161</v>
      </c>
      <c r="G236" s="6">
        <v>74</v>
      </c>
      <c r="H236" s="6">
        <v>54</v>
      </c>
      <c r="I236" s="6">
        <v>61</v>
      </c>
    </row>
    <row r="237" spans="2:9" hidden="1">
      <c r="B237" s="8" t="s">
        <v>198</v>
      </c>
      <c r="C237" s="6" t="s">
        <v>17</v>
      </c>
      <c r="D237" s="6">
        <v>621.875</v>
      </c>
      <c r="E237" s="6">
        <v>615.875</v>
      </c>
      <c r="F237" s="6">
        <v>252.5</v>
      </c>
      <c r="G237" s="6">
        <v>335.875</v>
      </c>
      <c r="H237" s="6">
        <v>80.625</v>
      </c>
      <c r="I237" s="6">
        <v>144.25</v>
      </c>
    </row>
    <row r="238" spans="2:9" hidden="1">
      <c r="B238" s="8" t="s">
        <v>199</v>
      </c>
      <c r="C238" s="6" t="s">
        <v>17</v>
      </c>
      <c r="D238" s="6">
        <v>625.625</v>
      </c>
      <c r="E238" s="6">
        <v>632.75</v>
      </c>
      <c r="F238" s="6">
        <v>290</v>
      </c>
      <c r="G238" s="6">
        <v>397.75</v>
      </c>
      <c r="H238" s="6">
        <v>134.375</v>
      </c>
      <c r="I238" s="6">
        <v>189.875</v>
      </c>
    </row>
    <row r="239" spans="2:9" hidden="1">
      <c r="B239" s="8" t="s">
        <v>200</v>
      </c>
      <c r="C239" s="6" t="s">
        <v>17</v>
      </c>
      <c r="D239" s="6">
        <v>-306</v>
      </c>
      <c r="E239" s="6">
        <v>78</v>
      </c>
      <c r="F239" s="6">
        <v>198</v>
      </c>
      <c r="G239" s="6">
        <v>-125</v>
      </c>
      <c r="H239" s="6">
        <v>210</v>
      </c>
      <c r="I239" s="6">
        <v>138</v>
      </c>
    </row>
    <row r="240" spans="2:9" hidden="1">
      <c r="B240" s="8" t="s">
        <v>201</v>
      </c>
      <c r="C240" s="6">
        <v>5</v>
      </c>
      <c r="D240" s="6">
        <v>-58</v>
      </c>
      <c r="E240" s="6">
        <v>981</v>
      </c>
      <c r="F240" s="6">
        <v>291</v>
      </c>
      <c r="G240" s="6">
        <v>-154</v>
      </c>
      <c r="H240" s="6">
        <v>-149</v>
      </c>
      <c r="I240" s="6">
        <v>-69</v>
      </c>
    </row>
    <row r="241" spans="1:9" hidden="1">
      <c r="B241" s="8" t="s">
        <v>77</v>
      </c>
      <c r="C241" s="14">
        <v>44638</v>
      </c>
      <c r="D241" s="14">
        <v>45002</v>
      </c>
      <c r="E241" s="14">
        <v>45373</v>
      </c>
      <c r="F241" s="14">
        <v>45737</v>
      </c>
      <c r="G241" s="14">
        <v>45737</v>
      </c>
      <c r="H241" s="14">
        <v>45737</v>
      </c>
      <c r="I241" s="14">
        <v>45996</v>
      </c>
    </row>
    <row r="242" spans="1:9" hidden="1">
      <c r="B242" s="8" t="s">
        <v>78</v>
      </c>
      <c r="C242" s="15" t="s">
        <v>96</v>
      </c>
      <c r="D242" s="15" t="s">
        <v>96</v>
      </c>
      <c r="E242" s="15" t="s">
        <v>96</v>
      </c>
      <c r="F242" s="15" t="s">
        <v>96</v>
      </c>
      <c r="G242" s="15" t="s">
        <v>96</v>
      </c>
      <c r="H242" s="15" t="s">
        <v>15</v>
      </c>
      <c r="I242" s="15" t="s">
        <v>15</v>
      </c>
    </row>
    <row r="243" spans="1:9" hidden="1">
      <c r="A243" t="s">
        <v>93</v>
      </c>
      <c r="B243" s="8" t="s">
        <v>79</v>
      </c>
      <c r="C243" s="15" t="s">
        <v>19</v>
      </c>
      <c r="D243" s="15" t="s">
        <v>19</v>
      </c>
      <c r="E243" s="15" t="s">
        <v>19</v>
      </c>
      <c r="F243" s="15" t="s">
        <v>19</v>
      </c>
      <c r="G243" s="15" t="s">
        <v>19</v>
      </c>
      <c r="H243" s="15" t="s">
        <v>19</v>
      </c>
      <c r="I243" s="15" t="s">
        <v>20</v>
      </c>
    </row>
  </sheetData>
  <pageMargins left="0.25" right="0.25" top="0.75" bottom="0.75" header="0.3" footer="0.3"/>
  <pageSetup paperSize="9" fitToWidth="2"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958B1-48BB-417F-ADE6-83646B941C1F}">
  <dimension ref="A2:AJ18"/>
  <sheetViews>
    <sheetView showGridLines="0" workbookViewId="0">
      <selection activeCell="H6" sqref="H6"/>
    </sheetView>
  </sheetViews>
  <sheetFormatPr defaultRowHeight="14.4"/>
  <cols>
    <col min="1" max="1" width="1.88671875" bestFit="1" customWidth="1"/>
    <col min="2" max="2" width="11.88671875" bestFit="1" customWidth="1"/>
    <col min="3" max="3" width="11.33203125" bestFit="1" customWidth="1"/>
    <col min="4" max="4" width="11.6640625" bestFit="1" customWidth="1"/>
    <col min="5" max="6" width="12.44140625" bestFit="1" customWidth="1"/>
    <col min="7" max="7" width="1.88671875" bestFit="1" customWidth="1"/>
    <col min="8" max="8" width="10.88671875" customWidth="1"/>
    <col min="9" max="9" width="10.5546875" customWidth="1"/>
    <col min="10" max="10" width="9.5546875" customWidth="1"/>
    <col min="11" max="11" width="10.44140625" customWidth="1"/>
    <col min="12" max="12" width="14.6640625" bestFit="1" customWidth="1"/>
    <col min="13" max="13" width="1.88671875" bestFit="1" customWidth="1"/>
    <col min="21" max="21" width="1.88671875" bestFit="1" customWidth="1"/>
    <col min="23" max="23" width="9.88671875" customWidth="1"/>
    <col min="24" max="24" width="10.21875" customWidth="1"/>
    <col min="25" max="25" width="9.33203125" customWidth="1"/>
    <col min="26" max="26" width="9.77734375" customWidth="1"/>
    <col min="27" max="27" width="1.88671875" bestFit="1" customWidth="1"/>
    <col min="33" max="33" width="1.88671875" bestFit="1" customWidth="1"/>
  </cols>
  <sheetData>
    <row r="2" spans="1:36">
      <c r="A2" t="s">
        <v>93</v>
      </c>
      <c r="B2" s="17" t="s">
        <v>21</v>
      </c>
      <c r="C2" s="2"/>
      <c r="D2" s="2"/>
      <c r="E2" s="2"/>
      <c r="F2" s="2"/>
      <c r="G2" t="s">
        <v>93</v>
      </c>
      <c r="H2" s="17" t="s">
        <v>67</v>
      </c>
      <c r="I2" s="17"/>
      <c r="J2" s="17"/>
      <c r="K2" s="17"/>
      <c r="L2" s="17"/>
      <c r="M2" s="17" t="s">
        <v>93</v>
      </c>
      <c r="N2" s="17" t="s">
        <v>266</v>
      </c>
      <c r="O2" s="17"/>
      <c r="P2" s="17"/>
      <c r="Q2" s="17"/>
      <c r="R2" s="17"/>
      <c r="S2" s="17"/>
      <c r="T2" s="17"/>
      <c r="U2" t="s">
        <v>93</v>
      </c>
      <c r="V2" s="17" t="s">
        <v>297</v>
      </c>
      <c r="W2" s="17"/>
      <c r="X2" s="17"/>
      <c r="Y2" s="17"/>
      <c r="Z2" s="17"/>
      <c r="AA2" t="s">
        <v>93</v>
      </c>
      <c r="AB2" s="17" t="s">
        <v>409</v>
      </c>
      <c r="AC2" s="17"/>
      <c r="AD2" s="17"/>
      <c r="AE2" s="17"/>
      <c r="AF2" s="17"/>
      <c r="AG2" t="s">
        <v>93</v>
      </c>
      <c r="AH2" s="17" t="s">
        <v>438</v>
      </c>
      <c r="AI2" s="17"/>
      <c r="AJ2" s="17"/>
    </row>
    <row r="4" spans="1:36">
      <c r="B4" s="17" t="s">
        <v>310</v>
      </c>
      <c r="C4" s="2"/>
      <c r="D4" s="2"/>
      <c r="E4" s="2"/>
      <c r="F4" s="2"/>
      <c r="H4" s="17" t="s">
        <v>374</v>
      </c>
      <c r="I4" s="2"/>
      <c r="N4" s="5" t="s">
        <v>390</v>
      </c>
      <c r="V4" s="5" t="s">
        <v>406</v>
      </c>
      <c r="AB4" s="5" t="s">
        <v>418</v>
      </c>
      <c r="AH4" s="2" t="s">
        <v>439</v>
      </c>
      <c r="AI4" s="2"/>
      <c r="AJ4" s="2"/>
    </row>
    <row r="5" spans="1:36">
      <c r="B5" s="224" t="s">
        <v>272</v>
      </c>
      <c r="C5" s="225" t="s">
        <v>273</v>
      </c>
      <c r="D5" s="225" t="s">
        <v>274</v>
      </c>
      <c r="E5" s="225" t="s">
        <v>275</v>
      </c>
      <c r="F5" s="226" t="s">
        <v>339</v>
      </c>
      <c r="H5" s="232" t="s">
        <v>378</v>
      </c>
      <c r="I5" s="233"/>
      <c r="J5" s="234" t="s">
        <v>364</v>
      </c>
      <c r="K5" s="233"/>
      <c r="L5" s="251" t="s">
        <v>381</v>
      </c>
      <c r="N5" t="s">
        <v>215</v>
      </c>
      <c r="O5" s="3" t="s">
        <v>220</v>
      </c>
      <c r="P5" s="3" t="s">
        <v>204</v>
      </c>
      <c r="Q5" s="3" t="s">
        <v>205</v>
      </c>
      <c r="R5" s="3" t="s">
        <v>206</v>
      </c>
      <c r="S5" s="3" t="s">
        <v>9</v>
      </c>
      <c r="T5" s="3" t="s">
        <v>92</v>
      </c>
      <c r="AH5" s="2" t="s">
        <v>440</v>
      </c>
      <c r="AI5" s="2"/>
      <c r="AJ5" s="320">
        <v>80.3</v>
      </c>
    </row>
    <row r="6" spans="1:36">
      <c r="B6" s="227" t="s">
        <v>276</v>
      </c>
      <c r="C6" t="s">
        <v>277</v>
      </c>
      <c r="D6" t="s">
        <v>278</v>
      </c>
      <c r="E6" t="s">
        <v>279</v>
      </c>
      <c r="F6" s="228" t="s">
        <v>280</v>
      </c>
      <c r="H6" s="235" t="s">
        <v>241</v>
      </c>
      <c r="I6" s="2"/>
      <c r="J6" s="243" t="s">
        <v>382</v>
      </c>
      <c r="K6" s="2"/>
      <c r="L6" s="253" t="s">
        <v>377</v>
      </c>
      <c r="N6" t="s">
        <v>216</v>
      </c>
      <c r="O6" s="84" t="s">
        <v>17</v>
      </c>
      <c r="P6" s="84" t="s">
        <v>391</v>
      </c>
      <c r="Q6" s="84">
        <v>161</v>
      </c>
      <c r="R6" s="84">
        <v>74</v>
      </c>
      <c r="S6" s="84">
        <v>54</v>
      </c>
      <c r="T6" s="84">
        <v>61</v>
      </c>
      <c r="V6" s="2" t="s">
        <v>404</v>
      </c>
      <c r="W6" s="2"/>
      <c r="X6" s="2" t="s">
        <v>405</v>
      </c>
      <c r="Y6" s="2"/>
      <c r="Z6" s="2"/>
      <c r="AA6" s="2"/>
      <c r="AB6" s="2" t="s">
        <v>404</v>
      </c>
      <c r="AC6" s="2"/>
      <c r="AD6" s="2" t="s">
        <v>419</v>
      </c>
      <c r="AE6" s="2"/>
      <c r="AF6" s="2"/>
    </row>
    <row r="7" spans="1:36">
      <c r="B7" s="229">
        <v>1353</v>
      </c>
      <c r="C7" s="230">
        <v>1459</v>
      </c>
      <c r="D7" s="230">
        <v>1472</v>
      </c>
      <c r="E7" s="230">
        <v>2170</v>
      </c>
      <c r="F7" s="231">
        <f>SUM(B7:E7)</f>
        <v>6454</v>
      </c>
      <c r="H7" s="235" t="s">
        <v>242</v>
      </c>
      <c r="I7" s="2"/>
      <c r="J7" s="243" t="s">
        <v>245</v>
      </c>
      <c r="K7" s="2"/>
      <c r="L7" s="253" t="s">
        <v>375</v>
      </c>
    </row>
    <row r="8" spans="1:36">
      <c r="H8" s="238" t="s">
        <v>243</v>
      </c>
      <c r="I8" s="239"/>
      <c r="J8" s="252">
        <v>-0.02</v>
      </c>
      <c r="K8" s="239"/>
      <c r="L8" s="254" t="s">
        <v>376</v>
      </c>
      <c r="V8" s="285" t="s">
        <v>339</v>
      </c>
      <c r="W8" s="286" t="s">
        <v>10</v>
      </c>
      <c r="X8" s="286" t="s">
        <v>11</v>
      </c>
      <c r="Y8" s="286" t="s">
        <v>12</v>
      </c>
      <c r="Z8" s="287" t="s">
        <v>13</v>
      </c>
      <c r="AB8" s="285" t="s">
        <v>339</v>
      </c>
      <c r="AC8" s="286" t="s">
        <v>10</v>
      </c>
      <c r="AD8" s="286" t="s">
        <v>11</v>
      </c>
      <c r="AE8" s="286" t="s">
        <v>12</v>
      </c>
      <c r="AF8" s="287" t="s">
        <v>13</v>
      </c>
    </row>
    <row r="9" spans="1:36">
      <c r="A9" t="s">
        <v>93</v>
      </c>
      <c r="B9" s="5" t="s">
        <v>365</v>
      </c>
      <c r="G9" t="s">
        <v>93</v>
      </c>
      <c r="M9" t="s">
        <v>93</v>
      </c>
      <c r="V9" s="288">
        <f>$Z$9+('CF Adjustments'!$O$22-$Z$9)*(1-1/5)</f>
        <v>3.0272495069212001E-2</v>
      </c>
      <c r="W9" s="289">
        <f>$Z$9+('CF Adjustments'!$O$22-$Z$9)*(1-2/5)</f>
        <v>3.1704371301909E-2</v>
      </c>
      <c r="X9" s="289">
        <f>$Z$9+('CF Adjustments'!$O$22-$Z$9)*(1-3/5)</f>
        <v>3.3136247534605999E-2</v>
      </c>
      <c r="Y9" s="289">
        <f>$Z$9+('CF Adjustments'!$O$22-$Z$9)*(1-4/5)</f>
        <v>3.4568123767302998E-2</v>
      </c>
      <c r="Z9" s="290">
        <v>3.5999999999999997E-2</v>
      </c>
      <c r="AB9" s="293">
        <f>'CF Adjustments'!O29</f>
        <v>0.10824240676936329</v>
      </c>
      <c r="AC9" s="294">
        <v>0.106</v>
      </c>
      <c r="AD9" s="294">
        <v>0.104</v>
      </c>
      <c r="AE9" s="294">
        <v>0.10199999999999999</v>
      </c>
      <c r="AF9" s="290">
        <v>0.1</v>
      </c>
    </row>
    <row r="10" spans="1:36">
      <c r="B10" s="232" t="s">
        <v>373</v>
      </c>
      <c r="C10" s="233"/>
      <c r="D10" s="234" t="s">
        <v>364</v>
      </c>
      <c r="E10" s="236"/>
      <c r="H10" s="2" t="s">
        <v>385</v>
      </c>
      <c r="I10" s="2"/>
      <c r="J10" s="2" t="s">
        <v>386</v>
      </c>
      <c r="K10" s="2"/>
      <c r="L10" s="2"/>
    </row>
    <row r="11" spans="1:36">
      <c r="B11" s="235" t="s">
        <v>241</v>
      </c>
      <c r="C11" s="2"/>
      <c r="D11" s="242" t="s">
        <v>245</v>
      </c>
      <c r="E11" s="237"/>
      <c r="U11" t="s">
        <v>93</v>
      </c>
      <c r="AA11" t="s">
        <v>93</v>
      </c>
      <c r="AG11" t="s">
        <v>93</v>
      </c>
    </row>
    <row r="12" spans="1:36">
      <c r="B12" s="235" t="s">
        <v>242</v>
      </c>
      <c r="C12" s="2"/>
      <c r="D12" s="223">
        <v>0.04</v>
      </c>
      <c r="E12" s="237"/>
      <c r="H12" s="224" t="s">
        <v>339</v>
      </c>
      <c r="I12" s="225" t="s">
        <v>10</v>
      </c>
      <c r="J12" s="225" t="s">
        <v>11</v>
      </c>
      <c r="K12" s="225" t="s">
        <v>12</v>
      </c>
      <c r="L12" s="249" t="s">
        <v>13</v>
      </c>
    </row>
    <row r="13" spans="1:36">
      <c r="A13" t="s">
        <v>93</v>
      </c>
      <c r="B13" s="238" t="s">
        <v>243</v>
      </c>
      <c r="C13" s="239"/>
      <c r="D13" s="240">
        <v>-0.04</v>
      </c>
      <c r="E13" s="241"/>
      <c r="G13" t="s">
        <v>93</v>
      </c>
      <c r="H13" s="246">
        <f>$L$13+('EBIT Build'!$I$16-$L$13)*(1-1/5)</f>
        <v>5.9086963986525284E-2</v>
      </c>
      <c r="I13" s="247">
        <f>$L$13+('EBIT Build'!$I$16-$L$13)*(1-2/5)</f>
        <v>6.5122284780562312E-2</v>
      </c>
      <c r="J13" s="247">
        <f>$L$13+('EBIT Build'!$I$16-$L$13)*(1-3/5)</f>
        <v>7.1157605574599339E-2</v>
      </c>
      <c r="K13" s="247">
        <f>$L$13+('EBIT Build'!$I$16-$L$13)*(1-4/5)</f>
        <v>7.7192926368636366E-2</v>
      </c>
      <c r="L13" s="248">
        <f>'EBIT Build'!O9</f>
        <v>8.3228247162673394E-2</v>
      </c>
      <c r="M13" t="s">
        <v>93</v>
      </c>
    </row>
    <row r="15" spans="1:36">
      <c r="H15" s="2" t="s">
        <v>380</v>
      </c>
      <c r="I15" s="2"/>
      <c r="J15" s="2" t="s">
        <v>384</v>
      </c>
      <c r="K15" s="2"/>
      <c r="L15" s="2"/>
    </row>
    <row r="17" spans="8:12">
      <c r="H17" s="224" t="s">
        <v>339</v>
      </c>
      <c r="I17" s="225" t="s">
        <v>10</v>
      </c>
      <c r="J17" s="225" t="s">
        <v>11</v>
      </c>
      <c r="K17" s="225" t="s">
        <v>12</v>
      </c>
      <c r="L17" s="249" t="s">
        <v>13</v>
      </c>
    </row>
    <row r="18" spans="8:12">
      <c r="H18" s="246">
        <f>$L$18+('EBIT Build'!$I$16-$L$18)*(1-1/5)</f>
        <v>6.8086119270276524E-2</v>
      </c>
      <c r="I18" s="247">
        <f>$L$18+('EBIT Build'!$I$16-$L$18)*(1-2/5)</f>
        <v>8.3120595348064805E-2</v>
      </c>
      <c r="J18" s="247">
        <f>$L$18+('EBIT Build'!$I$16-$L$18)*(1-3/5)</f>
        <v>9.8155071425853072E-2</v>
      </c>
      <c r="K18" s="247">
        <f>$L$18+('EBIT Build'!$I$16-$L$18)*(1-4/5)</f>
        <v>0.11318954750364135</v>
      </c>
      <c r="L18" s="248">
        <f>'EBIT Build'!O5</f>
        <v>0.12822402358142962</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7A7D6-F62C-490B-ADEF-258892C9624E}">
  <dimension ref="A1:R47"/>
  <sheetViews>
    <sheetView showGridLines="0" zoomScaleNormal="100" zoomScaleSheetLayoutView="100" workbookViewId="0">
      <selection activeCell="H6" sqref="H6"/>
    </sheetView>
  </sheetViews>
  <sheetFormatPr defaultColWidth="10.5546875" defaultRowHeight="13.2"/>
  <cols>
    <col min="1" max="1" width="5" style="118" bestFit="1" customWidth="1"/>
    <col min="2" max="2" width="1.5546875" style="118" customWidth="1"/>
    <col min="3" max="3" width="18.5546875" style="118" customWidth="1"/>
    <col min="4" max="4" width="11.5546875" style="143" customWidth="1"/>
    <col min="5" max="5" width="1.5546875" style="143" customWidth="1"/>
    <col min="6" max="6" width="6.6640625" style="118" customWidth="1"/>
    <col min="7" max="11" width="12.6640625" style="118" customWidth="1"/>
    <col min="12" max="12" width="13.5546875" style="118" customWidth="1"/>
    <col min="13" max="13" width="10.44140625" style="118" customWidth="1"/>
    <col min="14" max="17" width="13.5546875" style="118" customWidth="1"/>
    <col min="18" max="16384" width="10.5546875" style="118"/>
  </cols>
  <sheetData>
    <row r="1" spans="1:18" s="115" customFormat="1" ht="22.65" customHeight="1">
      <c r="B1" s="116"/>
      <c r="C1" s="117"/>
      <c r="D1" s="117"/>
      <c r="E1" s="117"/>
      <c r="F1" s="117"/>
      <c r="G1" s="117"/>
      <c r="H1" s="117"/>
      <c r="I1" s="117"/>
      <c r="J1" s="117"/>
      <c r="K1" s="117"/>
    </row>
    <row r="2" spans="1:18" ht="17.399999999999999">
      <c r="B2" s="119" t="s">
        <v>347</v>
      </c>
      <c r="C2" s="119"/>
      <c r="D2" s="119"/>
      <c r="E2" s="119"/>
      <c r="F2" s="119"/>
      <c r="G2" s="119"/>
      <c r="H2" s="119"/>
      <c r="I2" s="119"/>
      <c r="J2" s="119"/>
      <c r="K2" s="119"/>
    </row>
    <row r="3" spans="1:18" ht="3" customHeight="1" thickBot="1">
      <c r="B3" s="120"/>
      <c r="C3" s="120"/>
      <c r="D3" s="121"/>
      <c r="E3" s="121"/>
      <c r="F3" s="120"/>
      <c r="G3" s="120"/>
      <c r="H3" s="120"/>
      <c r="I3" s="120"/>
      <c r="J3" s="120"/>
      <c r="K3" s="120"/>
    </row>
    <row r="4" spans="1:18" ht="12.75" customHeight="1">
      <c r="C4" s="122"/>
      <c r="D4" s="123"/>
      <c r="E4" s="123"/>
      <c r="F4" s="122"/>
    </row>
    <row r="5" spans="1:18" ht="6" customHeight="1">
      <c r="B5" s="124"/>
      <c r="C5" s="125"/>
      <c r="D5" s="126"/>
      <c r="E5" s="127"/>
      <c r="G5" s="128"/>
      <c r="H5" s="128"/>
      <c r="I5" s="128"/>
      <c r="J5" s="128"/>
      <c r="K5" s="128"/>
    </row>
    <row r="6" spans="1:18" ht="16.2" customHeight="1">
      <c r="B6" s="129" t="s">
        <v>348</v>
      </c>
      <c r="C6" s="130"/>
      <c r="D6" s="131">
        <v>2</v>
      </c>
      <c r="E6" s="132"/>
      <c r="F6" s="130"/>
      <c r="G6" s="133" t="str">
        <f>'Revenue Build'!AD4</f>
        <v>2025E</v>
      </c>
      <c r="H6" s="133" t="str">
        <f>'Revenue Build'!AE4</f>
        <v>2026E</v>
      </c>
      <c r="I6" s="133" t="str">
        <f>'Revenue Build'!AF4</f>
        <v>2027E</v>
      </c>
      <c r="J6" s="133" t="str">
        <f>'Revenue Build'!AG4</f>
        <v>2028E</v>
      </c>
      <c r="K6" s="133" t="str">
        <f>'Revenue Build'!AH4</f>
        <v>2029E</v>
      </c>
      <c r="M6"/>
      <c r="N6"/>
      <c r="O6"/>
      <c r="P6"/>
      <c r="Q6"/>
      <c r="R6"/>
    </row>
    <row r="7" spans="1:18" ht="6" customHeight="1">
      <c r="B7" s="134"/>
      <c r="C7" s="135"/>
      <c r="D7" s="136"/>
      <c r="E7" s="137"/>
      <c r="F7" s="130"/>
      <c r="G7" s="138"/>
      <c r="H7" s="138"/>
      <c r="I7" s="139"/>
      <c r="J7" s="139"/>
      <c r="K7" s="138"/>
      <c r="M7"/>
      <c r="N7"/>
      <c r="O7"/>
      <c r="P7"/>
      <c r="Q7"/>
      <c r="R7"/>
    </row>
    <row r="8" spans="1:18" ht="14.4">
      <c r="B8" s="130"/>
      <c r="C8" s="130"/>
      <c r="D8" s="140"/>
      <c r="E8" s="140"/>
      <c r="F8" s="130"/>
      <c r="G8" s="138"/>
      <c r="H8" s="138"/>
      <c r="I8" s="139"/>
      <c r="J8" s="139"/>
      <c r="K8" s="138"/>
      <c r="M8"/>
      <c r="N8"/>
      <c r="O8"/>
      <c r="P8"/>
      <c r="Q8"/>
      <c r="R8"/>
    </row>
    <row r="9" spans="1:18" ht="14.4">
      <c r="B9" s="130"/>
      <c r="C9" s="130"/>
      <c r="D9" s="140"/>
      <c r="E9" s="140"/>
      <c r="F9" s="130"/>
      <c r="G9" s="138"/>
      <c r="H9" s="138"/>
      <c r="I9" s="139"/>
      <c r="J9" s="139"/>
      <c r="K9" s="138"/>
      <c r="M9"/>
      <c r="N9"/>
      <c r="O9"/>
      <c r="P9"/>
      <c r="Q9"/>
      <c r="R9"/>
    </row>
    <row r="10" spans="1:18" ht="15.6">
      <c r="A10" s="141"/>
      <c r="B10" s="142" t="s">
        <v>349</v>
      </c>
      <c r="M10"/>
      <c r="N10"/>
      <c r="O10"/>
      <c r="P10"/>
      <c r="Q10"/>
      <c r="R10"/>
    </row>
    <row r="11" spans="1:18" ht="12.75" customHeight="1"/>
    <row r="12" spans="1:18" ht="16.2" customHeight="1">
      <c r="B12" s="144" t="s">
        <v>350</v>
      </c>
      <c r="D12" s="145"/>
      <c r="E12" s="145"/>
      <c r="G12" s="165" cm="1">
        <f t="array" ref="G12">INDEX(G14:G16,$D$6)</f>
        <v>0.05</v>
      </c>
      <c r="H12" s="166" cm="1">
        <f t="array" ref="H12">INDEX(H14:H16,$D$6)</f>
        <v>4.4999999999999998E-2</v>
      </c>
      <c r="I12" s="166" cm="1">
        <f t="array" ref="I12">INDEX(I14:I16,$D$6)</f>
        <v>0.04</v>
      </c>
      <c r="J12" s="166" cm="1">
        <f t="array" ref="J12">INDEX(J14:J16,$D$6)</f>
        <v>3.5000000000000003E-2</v>
      </c>
      <c r="K12" s="167" cm="1">
        <f t="array" ref="K12">INDEX(K14:K16,$D$6)</f>
        <v>3.2000000000000001E-2</v>
      </c>
    </row>
    <row r="13" spans="1:18" ht="4.3499999999999996" customHeight="1">
      <c r="B13" s="146"/>
      <c r="D13" s="145"/>
      <c r="E13" s="145"/>
      <c r="G13" s="147"/>
      <c r="H13" s="148"/>
      <c r="I13" s="148"/>
      <c r="J13" s="148"/>
      <c r="K13" s="148"/>
    </row>
    <row r="14" spans="1:18">
      <c r="B14" s="146"/>
      <c r="C14" s="118" t="str">
        <f>'Assumptions and Inputs'!B11</f>
        <v>Base Case</v>
      </c>
      <c r="D14" s="145"/>
      <c r="E14" s="145"/>
      <c r="G14" s="195">
        <v>0.04</v>
      </c>
      <c r="H14" s="196">
        <v>0.03</v>
      </c>
      <c r="I14" s="196">
        <v>2.5000000000000001E-2</v>
      </c>
      <c r="J14" s="196">
        <v>2.1999999999999999E-2</v>
      </c>
      <c r="K14" s="197">
        <v>0.02</v>
      </c>
    </row>
    <row r="15" spans="1:18">
      <c r="B15" s="146"/>
      <c r="C15" s="118" t="str">
        <f>'Assumptions and Inputs'!B12</f>
        <v>Best Case</v>
      </c>
      <c r="D15" s="145"/>
      <c r="E15" s="145"/>
      <c r="G15" s="195">
        <v>0.05</v>
      </c>
      <c r="H15" s="196">
        <v>4.4999999999999998E-2</v>
      </c>
      <c r="I15" s="196">
        <v>0.04</v>
      </c>
      <c r="J15" s="196">
        <v>3.5000000000000003E-2</v>
      </c>
      <c r="K15" s="197">
        <v>3.2000000000000001E-2</v>
      </c>
    </row>
    <row r="16" spans="1:18">
      <c r="B16" s="146"/>
      <c r="C16" s="118" t="str">
        <f>'Assumptions and Inputs'!B13</f>
        <v>Worst Case</v>
      </c>
      <c r="D16" s="145"/>
      <c r="E16" s="145"/>
      <c r="G16" s="198">
        <v>0.03</v>
      </c>
      <c r="H16" s="199">
        <v>2.5000000000000001E-2</v>
      </c>
      <c r="I16" s="199">
        <v>0.02</v>
      </c>
      <c r="J16" s="199">
        <v>1.4999999999999999E-2</v>
      </c>
      <c r="K16" s="200">
        <v>1.2E-2</v>
      </c>
    </row>
    <row r="17" spans="1:13">
      <c r="C17" s="149"/>
      <c r="D17" s="150"/>
      <c r="E17" s="150"/>
      <c r="G17" s="151"/>
      <c r="H17" s="151"/>
      <c r="I17" s="151"/>
      <c r="J17" s="151"/>
      <c r="K17" s="152"/>
    </row>
    <row r="18" spans="1:13">
      <c r="C18" s="149"/>
      <c r="D18" s="150"/>
      <c r="E18" s="150"/>
      <c r="G18" s="151"/>
      <c r="H18" s="151"/>
      <c r="I18" s="151"/>
      <c r="J18" s="151"/>
      <c r="K18" s="152"/>
    </row>
    <row r="19" spans="1:13">
      <c r="B19" s="144" t="s">
        <v>351</v>
      </c>
      <c r="D19" s="145"/>
      <c r="E19" s="145"/>
      <c r="G19" s="165" cm="1">
        <f t="array" ref="G19">INDEX(G21:G23,$D$6)</f>
        <v>3.5000000000000003E-2</v>
      </c>
      <c r="H19" s="166" cm="1">
        <f t="array" ref="H19">INDEX(H21:H23,$D$6)</f>
        <v>0.03</v>
      </c>
      <c r="I19" s="166" cm="1">
        <f t="array" ref="I19">INDEX(I21:I23,$D$6)</f>
        <v>2.5000000000000001E-2</v>
      </c>
      <c r="J19" s="166" cm="1">
        <f t="array" ref="J19">INDEX(J21:J23,$D$6)</f>
        <v>2.5000000000000001E-2</v>
      </c>
      <c r="K19" s="167" cm="1">
        <f t="array" ref="K19">INDEX(K21:K23,$D$6)</f>
        <v>2.5000000000000001E-2</v>
      </c>
    </row>
    <row r="20" spans="1:13">
      <c r="B20" s="146"/>
      <c r="D20" s="145"/>
      <c r="E20" s="145"/>
      <c r="G20" s="147"/>
      <c r="H20" s="148"/>
      <c r="I20" s="148"/>
      <c r="J20" s="148"/>
      <c r="K20" s="148"/>
    </row>
    <row r="21" spans="1:13">
      <c r="B21" s="146">
        <f>B14</f>
        <v>0</v>
      </c>
      <c r="C21" s="118" t="str">
        <f>'Assumptions and Inputs'!B11</f>
        <v>Base Case</v>
      </c>
      <c r="D21" s="145"/>
      <c r="E21" s="145"/>
      <c r="G21" s="201">
        <v>0.03</v>
      </c>
      <c r="H21" s="202">
        <v>2.1999999999999999E-2</v>
      </c>
      <c r="I21" s="202">
        <v>0.02</v>
      </c>
      <c r="J21" s="202">
        <v>0.02</v>
      </c>
      <c r="K21" s="203">
        <v>0.02</v>
      </c>
    </row>
    <row r="22" spans="1:13">
      <c r="B22" s="146"/>
      <c r="C22" s="118" t="str">
        <f>'Assumptions and Inputs'!B12</f>
        <v>Best Case</v>
      </c>
      <c r="D22" s="145"/>
      <c r="E22" s="145"/>
      <c r="G22" s="195">
        <v>3.5000000000000003E-2</v>
      </c>
      <c r="H22" s="196">
        <v>0.03</v>
      </c>
      <c r="I22" s="196">
        <v>2.5000000000000001E-2</v>
      </c>
      <c r="J22" s="196">
        <v>2.5000000000000001E-2</v>
      </c>
      <c r="K22" s="197">
        <v>2.5000000000000001E-2</v>
      </c>
    </row>
    <row r="23" spans="1:13">
      <c r="B23" s="146"/>
      <c r="C23" s="118" t="str">
        <f>'Assumptions and Inputs'!B13</f>
        <v>Worst Case</v>
      </c>
      <c r="D23" s="145"/>
      <c r="E23" s="145"/>
      <c r="G23" s="198">
        <v>0.02</v>
      </c>
      <c r="H23" s="199">
        <v>1.4999999999999999E-2</v>
      </c>
      <c r="I23" s="199">
        <v>0.01</v>
      </c>
      <c r="J23" s="199">
        <v>8.0000000000000002E-3</v>
      </c>
      <c r="K23" s="200">
        <v>5.0000000000000001E-3</v>
      </c>
    </row>
    <row r="25" spans="1:13" ht="12.75" customHeight="1"/>
    <row r="26" spans="1:13" ht="12.75" customHeight="1"/>
    <row r="27" spans="1:13" s="153" customFormat="1" ht="16.2" customHeight="1">
      <c r="B27" s="144" t="s">
        <v>357</v>
      </c>
      <c r="D27" s="154"/>
      <c r="E27" s="154"/>
      <c r="G27" s="192" cm="1">
        <f t="array" ref="G27">INDEX(G29:G31,$D$6)</f>
        <v>9.7854140625880354E-2</v>
      </c>
      <c r="H27" s="193" cm="1">
        <f t="array" ref="H27">INDEX(H29:H31,$D$6)</f>
        <v>0.09</v>
      </c>
      <c r="I27" s="193" cm="1">
        <f t="array" ref="I27">INDEX(I29:I31,$D$6)</f>
        <v>0.08</v>
      </c>
      <c r="J27" s="193" cm="1">
        <f t="array" ref="J27">INDEX(J29:J31,$D$6)</f>
        <v>7.5000000000000011E-2</v>
      </c>
      <c r="K27" s="194" cm="1">
        <f t="array" ref="K27">INDEX(K29:K31,$D$6)</f>
        <v>7.0000000000000007E-2</v>
      </c>
    </row>
    <row r="28" spans="1:13" ht="4.3499999999999996" customHeight="1">
      <c r="B28" s="155"/>
      <c r="D28" s="145"/>
      <c r="E28" s="145"/>
      <c r="G28" s="156"/>
      <c r="H28" s="156"/>
      <c r="I28" s="156"/>
      <c r="J28" s="156"/>
      <c r="K28" s="156"/>
    </row>
    <row r="29" spans="1:13">
      <c r="C29" s="149" t="str">
        <f>C14</f>
        <v>Base Case</v>
      </c>
      <c r="D29" s="150"/>
      <c r="E29" s="150"/>
      <c r="G29" s="186">
        <f>'Revenue Build'!U21</f>
        <v>5.7854140625880346E-2</v>
      </c>
      <c r="H29" s="204">
        <v>0.05</v>
      </c>
      <c r="I29" s="204">
        <v>0.04</v>
      </c>
      <c r="J29" s="204">
        <v>3.5000000000000003E-2</v>
      </c>
      <c r="K29" s="205">
        <v>0.03</v>
      </c>
      <c r="L29" s="157"/>
      <c r="M29" s="158"/>
    </row>
    <row r="30" spans="1:13">
      <c r="A30" s="159">
        <f>'Assumptions and Inputs'!$D$12</f>
        <v>0.04</v>
      </c>
      <c r="C30" s="149" t="str">
        <f>C15</f>
        <v>Best Case</v>
      </c>
      <c r="D30" s="150"/>
      <c r="E30" s="150"/>
      <c r="G30" s="187">
        <f>G29+$A$30</f>
        <v>9.7854140625880354E-2</v>
      </c>
      <c r="H30" s="185">
        <f t="shared" ref="H30:K30" si="0">H29+$A$30</f>
        <v>0.09</v>
      </c>
      <c r="I30" s="185">
        <f t="shared" si="0"/>
        <v>0.08</v>
      </c>
      <c r="J30" s="185">
        <f t="shared" si="0"/>
        <v>7.5000000000000011E-2</v>
      </c>
      <c r="K30" s="188">
        <f t="shared" si="0"/>
        <v>7.0000000000000007E-2</v>
      </c>
      <c r="L30" s="157"/>
      <c r="M30" s="158"/>
    </row>
    <row r="31" spans="1:13">
      <c r="A31" s="159">
        <f>'Assumptions and Inputs'!$D$13</f>
        <v>-0.04</v>
      </c>
      <c r="C31" s="149" t="str">
        <f>C16</f>
        <v>Worst Case</v>
      </c>
      <c r="D31" s="150"/>
      <c r="E31" s="150"/>
      <c r="G31" s="189">
        <f>G29+$A$31</f>
        <v>1.7854140625880345E-2</v>
      </c>
      <c r="H31" s="190">
        <f t="shared" ref="H31:K31" si="1">H29+$A$31</f>
        <v>1.0000000000000002E-2</v>
      </c>
      <c r="I31" s="190">
        <f t="shared" si="1"/>
        <v>0</v>
      </c>
      <c r="J31" s="190">
        <f t="shared" si="1"/>
        <v>-4.9999999999999975E-3</v>
      </c>
      <c r="K31" s="191">
        <f t="shared" si="1"/>
        <v>-1.0000000000000002E-2</v>
      </c>
      <c r="L31" s="157"/>
      <c r="M31" s="158"/>
    </row>
    <row r="32" spans="1:13">
      <c r="C32" s="160"/>
      <c r="D32" s="150"/>
      <c r="E32" s="150"/>
      <c r="G32" s="161"/>
      <c r="H32" s="161"/>
      <c r="I32" s="161"/>
      <c r="J32" s="161"/>
      <c r="K32" s="162"/>
      <c r="L32" s="157"/>
    </row>
    <row r="33" spans="1:12">
      <c r="C33" s="160"/>
      <c r="D33" s="150"/>
      <c r="E33" s="150"/>
      <c r="G33" s="161"/>
      <c r="H33" s="161"/>
      <c r="I33" s="161"/>
      <c r="J33" s="161"/>
      <c r="K33" s="162"/>
      <c r="L33" s="157"/>
    </row>
    <row r="34" spans="1:12" ht="16.2" customHeight="1">
      <c r="B34" s="144" t="s">
        <v>358</v>
      </c>
      <c r="D34" s="145"/>
      <c r="E34" s="145"/>
      <c r="G34" s="165" cm="1">
        <f t="array" ref="G34">INDEX(G36:G38,$D$6)</f>
        <v>2.417510766725741E-2</v>
      </c>
      <c r="H34" s="166" cm="1">
        <f t="array" ref="H34">INDEX(H36:H38,$D$6)</f>
        <v>0.03</v>
      </c>
      <c r="I34" s="166" cm="1">
        <f t="array" ref="I34">INDEX(I36:I38,$D$6)</f>
        <v>3.5000000000000003E-2</v>
      </c>
      <c r="J34" s="166" cm="1">
        <f t="array" ref="J34">INDEX(J36:J38,$D$6)</f>
        <v>3.7999999999999999E-2</v>
      </c>
      <c r="K34" s="167" cm="1">
        <f t="array" ref="K34">INDEX(K36:K38,$D$6)</f>
        <v>0.04</v>
      </c>
    </row>
    <row r="35" spans="1:12" ht="4.3499999999999996" customHeight="1">
      <c r="B35" s="146"/>
      <c r="D35" s="145"/>
      <c r="E35" s="145"/>
      <c r="G35" s="147"/>
      <c r="H35" s="148"/>
      <c r="I35" s="148"/>
      <c r="J35" s="148"/>
      <c r="K35" s="148"/>
    </row>
    <row r="36" spans="1:12">
      <c r="B36" s="146"/>
      <c r="C36" s="118" t="str">
        <f>C14</f>
        <v>Base Case</v>
      </c>
      <c r="D36" s="145"/>
      <c r="E36" s="145"/>
      <c r="G36" s="184">
        <f>'Revenue Build'!U23</f>
        <v>-1.5824892332742591E-2</v>
      </c>
      <c r="H36" s="202">
        <v>-0.01</v>
      </c>
      <c r="I36" s="202">
        <v>-5.0000000000000001E-3</v>
      </c>
      <c r="J36" s="202">
        <v>-2E-3</v>
      </c>
      <c r="K36" s="203">
        <v>0</v>
      </c>
    </row>
    <row r="37" spans="1:12">
      <c r="A37" s="159">
        <f>'Assumptions and Inputs'!$D$12</f>
        <v>0.04</v>
      </c>
      <c r="B37" s="146"/>
      <c r="C37" s="118" t="str">
        <f>C15</f>
        <v>Best Case</v>
      </c>
      <c r="D37" s="145"/>
      <c r="E37" s="145"/>
      <c r="G37" s="195">
        <f>G36+$A$37</f>
        <v>2.417510766725741E-2</v>
      </c>
      <c r="H37" s="196">
        <f t="shared" ref="H37:K37" si="2">H36+$A$37</f>
        <v>0.03</v>
      </c>
      <c r="I37" s="196">
        <f t="shared" si="2"/>
        <v>3.5000000000000003E-2</v>
      </c>
      <c r="J37" s="196">
        <f t="shared" si="2"/>
        <v>3.7999999999999999E-2</v>
      </c>
      <c r="K37" s="197">
        <f t="shared" si="2"/>
        <v>0.04</v>
      </c>
    </row>
    <row r="38" spans="1:12">
      <c r="A38" s="159">
        <f>'Assumptions and Inputs'!$D$13</f>
        <v>-0.04</v>
      </c>
      <c r="B38" s="146"/>
      <c r="C38" s="118" t="str">
        <f>C16</f>
        <v>Worst Case</v>
      </c>
      <c r="D38" s="145"/>
      <c r="E38" s="145"/>
      <c r="G38" s="198">
        <f>G36+$A$38</f>
        <v>-5.5824892332742591E-2</v>
      </c>
      <c r="H38" s="199">
        <f t="shared" ref="H38:K38" si="3">H36+$A$38</f>
        <v>-0.05</v>
      </c>
      <c r="I38" s="199">
        <f t="shared" si="3"/>
        <v>-4.4999999999999998E-2</v>
      </c>
      <c r="J38" s="199">
        <f t="shared" si="3"/>
        <v>-4.2000000000000003E-2</v>
      </c>
      <c r="K38" s="200">
        <f t="shared" si="3"/>
        <v>-0.04</v>
      </c>
    </row>
    <row r="39" spans="1:12">
      <c r="C39" s="160"/>
      <c r="D39" s="150"/>
      <c r="E39" s="150"/>
      <c r="G39" s="161"/>
      <c r="H39" s="161"/>
      <c r="I39" s="161"/>
      <c r="J39" s="161"/>
      <c r="K39" s="162"/>
      <c r="L39" s="157"/>
    </row>
    <row r="40" spans="1:12">
      <c r="B40" s="163"/>
      <c r="C40" s="163"/>
      <c r="D40" s="164"/>
      <c r="E40" s="164"/>
      <c r="F40" s="163"/>
      <c r="G40" s="163"/>
      <c r="H40" s="163"/>
      <c r="I40" s="163"/>
      <c r="J40" s="163"/>
      <c r="K40" s="163"/>
    </row>
    <row r="41" spans="1:12">
      <c r="G41" s="245" t="str">
        <f>'EBIT Build'!V4</f>
        <v>2025E</v>
      </c>
      <c r="H41" s="245" t="str">
        <f>'EBIT Build'!W4</f>
        <v>2026E</v>
      </c>
      <c r="I41" s="245" t="str">
        <f>'EBIT Build'!X4</f>
        <v>2027E</v>
      </c>
      <c r="J41" s="245" t="str">
        <f>'EBIT Build'!Y4</f>
        <v>2028E</v>
      </c>
      <c r="K41" s="245" t="str">
        <f>'EBIT Build'!Z4</f>
        <v>2029E</v>
      </c>
    </row>
    <row r="43" spans="1:12" ht="13.8">
      <c r="B43" s="142" t="s">
        <v>379</v>
      </c>
      <c r="C43" s="130"/>
      <c r="D43" s="145"/>
      <c r="E43" s="145"/>
      <c r="G43" s="165" cm="1">
        <f t="array" ref="G43">INDEX(G45:G47,$D$6)</f>
        <v>6.8086119270276524E-2</v>
      </c>
      <c r="H43" s="166" cm="1">
        <f t="array" ref="H43">INDEX(H45:H47,$D$6)</f>
        <v>8.3120595348064805E-2</v>
      </c>
      <c r="I43" s="166" cm="1">
        <f t="array" ref="I43">INDEX(I45:I47,$D$6)</f>
        <v>9.8155071425853072E-2</v>
      </c>
      <c r="J43" s="166" cm="1">
        <f t="array" ref="J43">INDEX(J45:J47,$D$6)</f>
        <v>0.11318954750364135</v>
      </c>
      <c r="K43" s="167" cm="1">
        <f t="array" ref="K43">INDEX(K45:K47,$D$6)</f>
        <v>0.12822402358142962</v>
      </c>
    </row>
    <row r="44" spans="1:12">
      <c r="D44" s="150"/>
      <c r="E44" s="150"/>
      <c r="G44" s="147"/>
      <c r="H44" s="148"/>
      <c r="I44" s="148"/>
      <c r="J44" s="148"/>
      <c r="K44" s="148"/>
    </row>
    <row r="45" spans="1:12">
      <c r="C45" s="118" t="str">
        <f>'Assumptions and Inputs'!H6</f>
        <v>Base Case</v>
      </c>
      <c r="D45" s="244"/>
      <c r="E45" s="118"/>
      <c r="G45" s="255">
        <f>'Assumptions and Inputs'!H13</f>
        <v>5.9086963986525284E-2</v>
      </c>
      <c r="H45" s="256">
        <f>'Assumptions and Inputs'!I13</f>
        <v>6.5122284780562312E-2</v>
      </c>
      <c r="I45" s="256">
        <f>'Assumptions and Inputs'!J13</f>
        <v>7.1157605574599339E-2</v>
      </c>
      <c r="J45" s="256">
        <f>'Assumptions and Inputs'!K13</f>
        <v>7.7192926368636366E-2</v>
      </c>
      <c r="K45" s="257">
        <f>'Assumptions and Inputs'!L13</f>
        <v>8.3228247162673394E-2</v>
      </c>
    </row>
    <row r="46" spans="1:12">
      <c r="C46" s="118" t="str">
        <f>'Assumptions and Inputs'!H7</f>
        <v>Best Case</v>
      </c>
      <c r="D46" s="244"/>
      <c r="E46" s="118"/>
      <c r="G46" s="258">
        <f>'Assumptions and Inputs'!H18</f>
        <v>6.8086119270276524E-2</v>
      </c>
      <c r="H46" s="250">
        <f>'Assumptions and Inputs'!I18</f>
        <v>8.3120595348064805E-2</v>
      </c>
      <c r="I46" s="250">
        <f>'Assumptions and Inputs'!J18</f>
        <v>9.8155071425853072E-2</v>
      </c>
      <c r="J46" s="250">
        <f>'Assumptions and Inputs'!K18</f>
        <v>0.11318954750364135</v>
      </c>
      <c r="K46" s="259">
        <f>'Assumptions and Inputs'!L18</f>
        <v>0.12822402358142962</v>
      </c>
    </row>
    <row r="47" spans="1:12">
      <c r="A47" s="159">
        <f>'Assumptions and Inputs'!J8</f>
        <v>-0.02</v>
      </c>
      <c r="C47" s="118" t="str">
        <f>'Assumptions and Inputs'!H8</f>
        <v>Worst Case</v>
      </c>
      <c r="D47" s="260"/>
      <c r="E47" s="118"/>
      <c r="G47" s="261">
        <f>G45+$A$47</f>
        <v>3.908696398652528E-2</v>
      </c>
      <c r="H47" s="262">
        <f t="shared" ref="H47:K47" si="4">H45+$A$47</f>
        <v>4.5122284780562308E-2</v>
      </c>
      <c r="I47" s="262">
        <f t="shared" si="4"/>
        <v>5.1157605574599335E-2</v>
      </c>
      <c r="J47" s="262">
        <f t="shared" si="4"/>
        <v>5.7192926368636363E-2</v>
      </c>
      <c r="K47" s="263">
        <f t="shared" si="4"/>
        <v>6.322824716267339E-2</v>
      </c>
    </row>
  </sheetData>
  <sheetProtection formatCells="0" formatColumns="0" formatRows="0" insertColumns="0" insertRows="0"/>
  <conditionalFormatting sqref="J352:M356">
    <cfRule type="cellIs" dxfId="0" priority="1" stopIfTrue="1" operator="greaterThan">
      <formula>330</formula>
    </cfRule>
  </conditionalFormatting>
  <printOptions horizontalCentered="1"/>
  <pageMargins left="0.25" right="0.25" top="0.33500000000000002" bottom="0.5" header="0.25" footer="0.25"/>
  <pageSetup scale="9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09" r:id="rId4" name="Drop Down 1">
              <controlPr defaultSize="0" autoLine="0" autoPict="0">
                <anchor moveWithCells="1">
                  <from>
                    <xdr:col>2</xdr:col>
                    <xdr:colOff>1249680</xdr:colOff>
                    <xdr:row>4</xdr:row>
                    <xdr:rowOff>60960</xdr:rowOff>
                  </from>
                  <to>
                    <xdr:col>4</xdr:col>
                    <xdr:colOff>22860</xdr:colOff>
                    <xdr:row>6</xdr:row>
                    <xdr:rowOff>22860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AEB6-DAFF-4E49-8204-56873A6CFB08}">
  <dimension ref="A1:AJ124"/>
  <sheetViews>
    <sheetView showGridLines="0" topLeftCell="Q1" zoomScaleNormal="100" workbookViewId="0">
      <selection activeCell="H6" sqref="H6"/>
    </sheetView>
  </sheetViews>
  <sheetFormatPr defaultRowHeight="14.4"/>
  <cols>
    <col min="2" max="2" width="1.88671875" bestFit="1" customWidth="1"/>
    <col min="3" max="3" width="29.109375" customWidth="1"/>
    <col min="4" max="4" width="6.77734375" customWidth="1"/>
    <col min="5" max="5" width="11.77734375" customWidth="1"/>
    <col min="6" max="6" width="13.109375" bestFit="1" customWidth="1"/>
    <col min="7" max="7" width="8.88671875" customWidth="1"/>
    <col min="11" max="11" width="9.5546875" bestFit="1" customWidth="1"/>
    <col min="12" max="12" width="1.88671875" bestFit="1" customWidth="1"/>
    <col min="14" max="14" width="6.44140625" customWidth="1"/>
    <col min="15" max="15" width="5.88671875" customWidth="1"/>
    <col min="16" max="16" width="1.88671875" bestFit="1" customWidth="1"/>
    <col min="17" max="17" width="7.33203125" customWidth="1"/>
    <col min="20" max="20" width="8.5546875" customWidth="1"/>
    <col min="21" max="21" width="7.109375" customWidth="1"/>
    <col min="22" max="22" width="6.88671875" customWidth="1"/>
    <col min="23" max="23" width="1.88671875" customWidth="1"/>
    <col min="24" max="24" width="6.109375" customWidth="1"/>
    <col min="25" max="25" width="1.88671875" bestFit="1" customWidth="1"/>
    <col min="26" max="26" width="18.109375" bestFit="1" customWidth="1"/>
    <col min="27" max="27" width="7.109375" bestFit="1" customWidth="1"/>
    <col min="28" max="34" width="10.5546875" bestFit="1" customWidth="1"/>
    <col min="36" max="36" width="1.88671875" bestFit="1" customWidth="1"/>
  </cols>
  <sheetData>
    <row r="1" spans="2:36">
      <c r="B1" s="2" t="str">
        <f>Cover!$B$7&amp; " "&amp;Cover!$B$9</f>
        <v>Victoria’s Secret &amp; Co (NYSE:VSCO)</v>
      </c>
      <c r="C1" s="2"/>
      <c r="D1" s="2"/>
      <c r="E1" s="2"/>
      <c r="F1" s="2"/>
      <c r="G1" s="2"/>
      <c r="H1" s="2"/>
      <c r="I1" s="2"/>
      <c r="J1" s="2"/>
      <c r="K1" s="2"/>
      <c r="L1" s="2"/>
      <c r="O1" s="2" t="str">
        <f>Cover!$B$7&amp; " "&amp;Cover!$B$9</f>
        <v>Victoria’s Secret &amp; Co (NYSE:VSCO)</v>
      </c>
      <c r="P1" s="2"/>
      <c r="Q1" s="2"/>
      <c r="R1" s="2"/>
      <c r="S1" s="2"/>
      <c r="T1" s="2"/>
      <c r="U1" s="2"/>
      <c r="V1" s="2"/>
      <c r="W1" s="2"/>
      <c r="X1" s="2"/>
      <c r="Y1" t="s">
        <v>93</v>
      </c>
      <c r="Z1" s="2" t="str">
        <f>Cover!$B$7&amp; " "&amp;Cover!$B$9</f>
        <v>Victoria’s Secret &amp; Co (NYSE:VSCO)</v>
      </c>
      <c r="AA1" s="2"/>
      <c r="AB1" s="2"/>
      <c r="AC1" s="2"/>
      <c r="AD1" s="2"/>
      <c r="AE1" s="2"/>
      <c r="AF1" s="2"/>
      <c r="AG1" s="2"/>
      <c r="AH1" s="2"/>
      <c r="AJ1" t="s">
        <v>93</v>
      </c>
    </row>
    <row r="2" spans="2:36">
      <c r="B2" s="17" t="s">
        <v>202</v>
      </c>
      <c r="C2" s="2"/>
      <c r="D2" s="2"/>
      <c r="E2" s="2"/>
      <c r="F2" s="2"/>
      <c r="G2" s="2"/>
      <c r="H2" s="2"/>
      <c r="I2" s="2"/>
      <c r="J2" s="2"/>
      <c r="K2" s="2"/>
      <c r="L2" s="2"/>
      <c r="O2" s="17" t="s">
        <v>203</v>
      </c>
      <c r="P2" s="2"/>
      <c r="Q2" s="2"/>
      <c r="R2" s="2"/>
      <c r="S2" s="2"/>
      <c r="T2" s="2"/>
      <c r="U2" s="2"/>
      <c r="V2" s="2"/>
      <c r="W2" s="2"/>
      <c r="X2" s="2"/>
      <c r="Z2" s="17" t="s">
        <v>5</v>
      </c>
      <c r="AA2" s="2"/>
      <c r="AB2" s="2"/>
      <c r="AC2" s="2"/>
      <c r="AD2" s="2"/>
      <c r="AE2" s="2"/>
      <c r="AF2" s="2"/>
      <c r="AG2" s="2"/>
      <c r="AH2" s="2"/>
    </row>
    <row r="3" spans="2:36" ht="15" thickBot="1"/>
    <row r="4" spans="2:36">
      <c r="B4" s="221" t="s">
        <v>93</v>
      </c>
      <c r="C4" s="72" t="s">
        <v>209</v>
      </c>
      <c r="D4" s="73"/>
      <c r="E4" s="73"/>
      <c r="F4" s="73"/>
      <c r="G4" s="73"/>
      <c r="H4" s="73"/>
      <c r="I4" s="73"/>
      <c r="J4" s="73"/>
      <c r="K4" s="73"/>
      <c r="L4" s="221" t="s">
        <v>93</v>
      </c>
      <c r="P4" s="22" t="s">
        <v>93</v>
      </c>
      <c r="Q4" s="23"/>
      <c r="R4" s="23"/>
      <c r="S4" s="23"/>
      <c r="T4" s="23"/>
      <c r="U4" s="23"/>
      <c r="V4" s="23"/>
      <c r="W4" s="24" t="s">
        <v>93</v>
      </c>
      <c r="Z4" s="3"/>
      <c r="AA4" s="3"/>
      <c r="AB4" s="3" t="s">
        <v>206</v>
      </c>
      <c r="AC4" s="3" t="s">
        <v>9</v>
      </c>
      <c r="AD4" s="40" t="s">
        <v>339</v>
      </c>
      <c r="AE4" s="3" t="s">
        <v>10</v>
      </c>
      <c r="AF4" s="3" t="s">
        <v>11</v>
      </c>
      <c r="AG4" s="3" t="s">
        <v>12</v>
      </c>
      <c r="AH4" s="3" t="s">
        <v>13</v>
      </c>
    </row>
    <row r="5" spans="2:36">
      <c r="C5" s="22" t="s">
        <v>226</v>
      </c>
      <c r="D5" s="23"/>
      <c r="E5" s="23" t="str">
        <f>'3FS'!C4</f>
        <v>2019A</v>
      </c>
      <c r="F5" s="23" t="str">
        <f>'3FS'!D4</f>
        <v>2020A</v>
      </c>
      <c r="G5" s="23" t="str">
        <f>'3FS'!E4</f>
        <v>2021A</v>
      </c>
      <c r="H5" s="23" t="str">
        <f>'3FS'!F4</f>
        <v>2022A</v>
      </c>
      <c r="I5" s="23" t="str">
        <f>'3FS'!G4</f>
        <v>2023A</v>
      </c>
      <c r="J5" s="23" t="str">
        <f>'3FS'!H4</f>
        <v>2024A</v>
      </c>
      <c r="K5" s="24" t="str">
        <f>'Assumptions and Inputs'!F5</f>
        <v>2025E</v>
      </c>
      <c r="P5" s="25"/>
      <c r="R5" s="46" t="str">
        <f>'Assumptions and Inputs'!B10</f>
        <v>Direct Sales Growth</v>
      </c>
      <c r="S5" s="2"/>
      <c r="T5" s="46" t="s">
        <v>244</v>
      </c>
      <c r="U5" s="2"/>
      <c r="W5" s="4"/>
      <c r="Z5" t="s">
        <v>246</v>
      </c>
      <c r="AB5" s="52">
        <f>F44</f>
        <v>831</v>
      </c>
      <c r="AC5" s="52">
        <f>G44</f>
        <v>806</v>
      </c>
      <c r="AD5" s="108">
        <f>AC5*(1+$U$14)</f>
        <v>790.98716405936625</v>
      </c>
      <c r="AE5" s="52">
        <f>AD5*(1+$U$14)</f>
        <v>776.25396241523424</v>
      </c>
      <c r="AF5" s="52">
        <f>AE5*(1+$U$14)</f>
        <v>761.79518650207444</v>
      </c>
      <c r="AG5" s="52">
        <f>AF5*(1+$U$14)</f>
        <v>747.60572477090807</v>
      </c>
      <c r="AH5" s="52">
        <f>AG5*(1+$U$14)</f>
        <v>733.68056088224273</v>
      </c>
    </row>
    <row r="6" spans="2:36">
      <c r="C6" s="25" t="s">
        <v>215</v>
      </c>
      <c r="E6" t="s">
        <v>281</v>
      </c>
      <c r="F6" t="s">
        <v>224</v>
      </c>
      <c r="G6" t="s">
        <v>210</v>
      </c>
      <c r="H6" t="s">
        <v>211</v>
      </c>
      <c r="I6" t="s">
        <v>212</v>
      </c>
      <c r="J6" t="s">
        <v>213</v>
      </c>
      <c r="K6" s="47" t="s">
        <v>214</v>
      </c>
      <c r="P6" s="25"/>
      <c r="R6" s="2" t="str">
        <f>'Assumptions and Inputs'!B11</f>
        <v>Base Case</v>
      </c>
      <c r="S6" s="2"/>
      <c r="T6" s="168" t="str">
        <f>'Assumptions and Inputs'!D11</f>
        <v>Research Forecast</v>
      </c>
      <c r="U6" s="2"/>
      <c r="W6" s="4"/>
      <c r="Z6" s="42" t="str">
        <f>'Scenarios '!B12</f>
        <v>NA ASP Growth</v>
      </c>
      <c r="AA6" s="42" t="s">
        <v>4</v>
      </c>
      <c r="AB6" s="174"/>
      <c r="AC6" s="175">
        <v>0</v>
      </c>
      <c r="AD6" s="176">
        <f>'Scenarios '!G12</f>
        <v>0.05</v>
      </c>
      <c r="AE6" s="177">
        <f>'Scenarios '!H12</f>
        <v>4.4999999999999998E-2</v>
      </c>
      <c r="AF6" s="177">
        <f>'Scenarios '!I12</f>
        <v>0.04</v>
      </c>
      <c r="AG6" s="177">
        <f>'Scenarios '!J12</f>
        <v>3.5000000000000003E-2</v>
      </c>
      <c r="AH6" s="177">
        <f>'Scenarios '!K12</f>
        <v>3.2000000000000001E-2</v>
      </c>
    </row>
    <row r="7" spans="2:36">
      <c r="C7" s="32" t="str">
        <f>'3FS'!B7</f>
        <v xml:space="preserve">  Total Revenue</v>
      </c>
      <c r="D7" s="33" t="s">
        <v>216</v>
      </c>
      <c r="E7" s="34">
        <f>'3FS'!C7</f>
        <v>7509</v>
      </c>
      <c r="F7" s="34">
        <f>'3FS'!D7</f>
        <v>5413</v>
      </c>
      <c r="G7" s="34">
        <f>'3FS'!E7</f>
        <v>6785</v>
      </c>
      <c r="H7" s="34">
        <f>'3FS'!F7</f>
        <v>6344</v>
      </c>
      <c r="I7" s="34">
        <f>'3FS'!G7</f>
        <v>6182</v>
      </c>
      <c r="J7" s="34">
        <f>'3FS'!H7</f>
        <v>6230</v>
      </c>
      <c r="K7" s="35">
        <f>'Assumptions and Inputs'!F7</f>
        <v>6454</v>
      </c>
      <c r="P7" s="25"/>
      <c r="R7" s="2" t="str">
        <f>'Assumptions and Inputs'!B12</f>
        <v>Best Case</v>
      </c>
      <c r="S7" s="2"/>
      <c r="T7" s="168">
        <f>'Assumptions and Inputs'!D12</f>
        <v>0.04</v>
      </c>
      <c r="U7" s="2"/>
      <c r="W7" s="4"/>
      <c r="Z7" t="s">
        <v>247</v>
      </c>
      <c r="AA7" t="s">
        <v>216</v>
      </c>
      <c r="AB7" s="51">
        <f>F40</f>
        <v>4.0380000000000003</v>
      </c>
      <c r="AC7" s="51">
        <f>G40</f>
        <v>4.0380000000000003</v>
      </c>
      <c r="AD7" s="107">
        <f>AC7*(1+AD6)</f>
        <v>4.2399000000000004</v>
      </c>
      <c r="AE7" s="51">
        <f>AD7*(1+AE6)</f>
        <v>4.4306955000000006</v>
      </c>
      <c r="AF7" s="51">
        <f t="shared" ref="AF7:AH7" si="0">AE7*(1+AF6)</f>
        <v>4.6079233200000012</v>
      </c>
      <c r="AG7" s="51">
        <f t="shared" si="0"/>
        <v>4.7692006362000008</v>
      </c>
      <c r="AH7" s="51">
        <f t="shared" si="0"/>
        <v>4.9218150565584011</v>
      </c>
    </row>
    <row r="8" spans="2:36">
      <c r="C8" s="25" t="s">
        <v>217</v>
      </c>
      <c r="D8" s="26" t="s">
        <v>4</v>
      </c>
      <c r="E8" s="26"/>
      <c r="F8" s="27">
        <f>(F7/E7-1)</f>
        <v>-0.27913170861632708</v>
      </c>
      <c r="G8" s="27">
        <f>(G7/F7-1)</f>
        <v>0.25346388324404212</v>
      </c>
      <c r="H8" s="27">
        <f t="shared" ref="H8:K8" si="1">(H7/G7-1)</f>
        <v>-6.4996315401621207E-2</v>
      </c>
      <c r="I8" s="27">
        <f t="shared" si="1"/>
        <v>-2.5535939470365698E-2</v>
      </c>
      <c r="J8" s="27">
        <f t="shared" si="1"/>
        <v>7.7644775153671297E-3</v>
      </c>
      <c r="K8" s="71">
        <f t="shared" si="1"/>
        <v>3.5955056179775235E-2</v>
      </c>
      <c r="P8" s="25"/>
      <c r="R8" s="2" t="str">
        <f>'Assumptions and Inputs'!B13</f>
        <v>Worst Case</v>
      </c>
      <c r="S8" s="2"/>
      <c r="T8" s="168">
        <f>'Assumptions and Inputs'!D13</f>
        <v>-0.04</v>
      </c>
      <c r="U8" s="2"/>
      <c r="W8" s="4"/>
      <c r="Z8" s="5" t="s">
        <v>248</v>
      </c>
      <c r="AA8" s="5" t="s">
        <v>216</v>
      </c>
      <c r="AB8" s="56">
        <f>AB5*AB7</f>
        <v>3355.5780000000004</v>
      </c>
      <c r="AC8" s="56">
        <f t="shared" ref="AC8:AD8" si="2">AC5*AC7</f>
        <v>3254.6280000000002</v>
      </c>
      <c r="AD8" s="57">
        <f t="shared" si="2"/>
        <v>3353.7064768953073</v>
      </c>
      <c r="AE8" s="56">
        <f>AE5*AE7</f>
        <v>3439.3449381303481</v>
      </c>
      <c r="AF8" s="56">
        <f>AF5*AF7</f>
        <v>3510.2938049466588</v>
      </c>
      <c r="AG8" s="56">
        <f>AG5*AG7</f>
        <v>3565.4816982041775</v>
      </c>
      <c r="AH8" s="56">
        <f>AH5*AH7</f>
        <v>3611.0400312544348</v>
      </c>
    </row>
    <row r="9" spans="2:36">
      <c r="C9" s="25" t="s">
        <v>218</v>
      </c>
      <c r="D9" s="26" t="s">
        <v>4</v>
      </c>
      <c r="E9" s="28"/>
      <c r="F9" s="36"/>
      <c r="G9" s="36"/>
      <c r="H9" s="36"/>
      <c r="I9" s="36"/>
      <c r="J9" s="29">
        <f>(J7/E7)^(1/5)-1</f>
        <v>-3.6656462138130563E-2</v>
      </c>
      <c r="K9" s="38">
        <f>(K7/F7)^(1/5)-1</f>
        <v>3.5805438125168232E-2</v>
      </c>
      <c r="P9" s="40" t="s">
        <v>93</v>
      </c>
      <c r="Q9" s="3"/>
      <c r="R9" s="3"/>
      <c r="S9" s="3"/>
      <c r="T9" s="3"/>
      <c r="U9" s="3"/>
      <c r="V9" s="3"/>
      <c r="W9" s="47" t="s">
        <v>93</v>
      </c>
      <c r="AC9" s="171">
        <f>AC8/AB8-1</f>
        <v>-3.0084235860409203E-2</v>
      </c>
      <c r="AD9" s="170">
        <f>AD8/AC8-1</f>
        <v>3.0442335313070279E-2</v>
      </c>
      <c r="AE9" s="171">
        <f t="shared" ref="AE9:AH9" si="3">AE8/AD8-1</f>
        <v>2.5535467049674798E-2</v>
      </c>
      <c r="AF9" s="171">
        <f t="shared" si="3"/>
        <v>2.0628598786279095E-2</v>
      </c>
      <c r="AG9" s="171">
        <f t="shared" si="3"/>
        <v>1.5721730522883393E-2</v>
      </c>
      <c r="AH9" s="171">
        <f t="shared" si="3"/>
        <v>1.2777609564845971E-2</v>
      </c>
    </row>
    <row r="10" spans="2:36">
      <c r="C10" s="25" t="s">
        <v>225</v>
      </c>
      <c r="D10" s="26" t="s">
        <v>4</v>
      </c>
      <c r="E10" s="28"/>
      <c r="F10" s="36"/>
      <c r="G10" s="36"/>
      <c r="H10" s="36"/>
      <c r="I10" s="29">
        <f>(I7/E7)^(1/4)-1</f>
        <v>-4.7452318914676384E-2</v>
      </c>
      <c r="J10" s="29">
        <f>(J7/F7)^(1/4)-1</f>
        <v>3.5768036987985585E-2</v>
      </c>
      <c r="K10" s="38">
        <f>(K7/G7)^(1/4)-1</f>
        <v>-1.242570531641829E-2</v>
      </c>
      <c r="Z10" t="s">
        <v>335</v>
      </c>
      <c r="AB10" s="69">
        <f>F101</f>
        <v>533</v>
      </c>
      <c r="AC10" s="69">
        <f>G101</f>
        <v>575</v>
      </c>
      <c r="AD10" s="55">
        <f>AC10*(1+$U$17)</f>
        <v>613.94106498523581</v>
      </c>
      <c r="AE10" s="52">
        <f>AD10*(1+$U$17)</f>
        <v>655.51935873948787</v>
      </c>
      <c r="AF10" s="52">
        <f>AE10*(1+$U$17)</f>
        <v>699.91348386601737</v>
      </c>
      <c r="AG10" s="52">
        <f>AF10*(1+$U$17)</f>
        <v>747.31413857779012</v>
      </c>
      <c r="AH10" s="52">
        <f>AG10*(1+$U$17)</f>
        <v>797.92493585560442</v>
      </c>
    </row>
    <row r="11" spans="2:36">
      <c r="C11" s="25"/>
      <c r="D11" s="26"/>
      <c r="E11" s="28"/>
      <c r="F11" s="36"/>
      <c r="G11" s="36"/>
      <c r="H11" s="36"/>
      <c r="I11" s="29"/>
      <c r="J11" s="29"/>
      <c r="K11" s="38"/>
      <c r="Z11" s="42" t="s">
        <v>355</v>
      </c>
      <c r="AA11" s="42" t="s">
        <v>4</v>
      </c>
      <c r="AB11" s="173"/>
      <c r="AC11" s="173"/>
      <c r="AD11" s="170">
        <f>'Scenarios '!G19</f>
        <v>3.5000000000000003E-2</v>
      </c>
      <c r="AE11" s="171">
        <f>'Scenarios '!H19</f>
        <v>0.03</v>
      </c>
      <c r="AF11" s="171">
        <f>'Scenarios '!I19</f>
        <v>2.5000000000000001E-2</v>
      </c>
      <c r="AG11" s="171">
        <f>'Scenarios '!J19</f>
        <v>2.5000000000000001E-2</v>
      </c>
      <c r="AH11" s="171">
        <f>'Scenarios '!K19</f>
        <v>2.5000000000000001E-2</v>
      </c>
    </row>
    <row r="12" spans="2:36">
      <c r="C12" s="40" t="s">
        <v>219</v>
      </c>
      <c r="D12" s="30" t="s">
        <v>4</v>
      </c>
      <c r="E12" s="31"/>
      <c r="F12" s="37"/>
      <c r="G12" s="37"/>
      <c r="H12" s="31">
        <f>(H7/E7)^(1/3)-1</f>
        <v>-5.4647689473733663E-2</v>
      </c>
      <c r="I12" s="31">
        <f t="shared" ref="I12:K12" si="4">(I7/F7)^(1/3)-1</f>
        <v>4.5274425036347044E-2</v>
      </c>
      <c r="J12" s="31">
        <f t="shared" si="4"/>
        <v>-2.8045208911456565E-2</v>
      </c>
      <c r="K12" s="39">
        <f t="shared" si="4"/>
        <v>5.7466521165809858E-3</v>
      </c>
      <c r="Z12" t="s">
        <v>249</v>
      </c>
      <c r="AA12" t="s">
        <v>216</v>
      </c>
      <c r="AB12" s="51">
        <f>F103</f>
        <v>1.3110687022900764</v>
      </c>
      <c r="AC12" s="51">
        <f>G103</f>
        <v>1.371841155234657</v>
      </c>
      <c r="AD12" s="107">
        <f>AC12*(1+AD11)</f>
        <v>1.4198555956678698</v>
      </c>
      <c r="AE12" s="51">
        <f t="shared" ref="AE12:AH12" si="5">AD12*(1+AE11)</f>
        <v>1.4624512635379059</v>
      </c>
      <c r="AF12" s="51">
        <f t="shared" si="5"/>
        <v>1.4990125451263534</v>
      </c>
      <c r="AG12" s="51">
        <f t="shared" si="5"/>
        <v>1.5364878587545121</v>
      </c>
      <c r="AH12" s="51">
        <f t="shared" si="5"/>
        <v>1.5749000552233747</v>
      </c>
    </row>
    <row r="13" spans="2:36">
      <c r="S13" s="46" t="s">
        <v>343</v>
      </c>
      <c r="T13" s="2"/>
      <c r="U13" s="46" t="s">
        <v>353</v>
      </c>
      <c r="V13" s="2"/>
      <c r="Z13" s="5" t="s">
        <v>340</v>
      </c>
      <c r="AA13" s="5" t="s">
        <v>216</v>
      </c>
      <c r="AB13" s="56">
        <f>AB10*AB12</f>
        <v>698.79961832061076</v>
      </c>
      <c r="AC13" s="178">
        <f>AC10*AC12</f>
        <v>788.80866425992781</v>
      </c>
      <c r="AD13" s="56">
        <f>AD12*AD10</f>
        <v>871.70765652957834</v>
      </c>
      <c r="AE13" s="56">
        <f t="shared" ref="AE13:AH13" si="6">AE12*AE10</f>
        <v>958.66511446212189</v>
      </c>
      <c r="AF13" s="56">
        <f t="shared" si="6"/>
        <v>1049.1790928182515</v>
      </c>
      <c r="AG13" s="56">
        <f t="shared" si="6"/>
        <v>1148.2391006003616</v>
      </c>
      <c r="AH13" s="56">
        <f t="shared" si="6"/>
        <v>1256.6520255430992</v>
      </c>
    </row>
    <row r="14" spans="2:36" ht="15" thickBot="1">
      <c r="C14" s="5" t="s">
        <v>227</v>
      </c>
      <c r="D14" s="41" t="s">
        <v>4</v>
      </c>
      <c r="J14" s="70">
        <f>(J17/E17)^(1/5)-1</f>
        <v>-3.6656462138130563E-2</v>
      </c>
      <c r="K14" s="70">
        <f>(K17/F17)^(1/5)-1</f>
        <v>3.5805438125168232E-2</v>
      </c>
      <c r="Q14" s="2" t="s">
        <v>254</v>
      </c>
      <c r="R14" s="2"/>
      <c r="S14" s="219" t="s">
        <v>352</v>
      </c>
      <c r="T14" s="2"/>
      <c r="U14" s="114">
        <f>(F45+G45)/2</f>
        <v>-1.8626347320885528E-2</v>
      </c>
      <c r="V14" s="2"/>
      <c r="AC14" s="179">
        <f>AC13/AB13-1</f>
        <v>0.12880523054038173</v>
      </c>
      <c r="AD14" s="169">
        <f t="shared" ref="AD14:AH14" si="7">AD13/AC13-1</f>
        <v>0.10509391697342418</v>
      </c>
      <c r="AE14" s="169">
        <f t="shared" si="7"/>
        <v>9.9755299017031174E-2</v>
      </c>
      <c r="AF14" s="169">
        <f t="shared" si="7"/>
        <v>9.4416681060637497E-2</v>
      </c>
      <c r="AG14" s="169">
        <f t="shared" si="7"/>
        <v>9.4416681060637719E-2</v>
      </c>
      <c r="AH14" s="169">
        <f t="shared" si="7"/>
        <v>9.4416681060637497E-2</v>
      </c>
    </row>
    <row r="15" spans="2:36" ht="15.6" thickTop="1" thickBot="1">
      <c r="C15" s="5" t="s">
        <v>342</v>
      </c>
      <c r="D15" s="41" t="s">
        <v>4</v>
      </c>
      <c r="J15" s="111">
        <f>(J14+J8)/2</f>
        <v>-1.4445992311381717E-2</v>
      </c>
      <c r="K15" s="111">
        <f>(K14+K8)/2</f>
        <v>3.5880247152471734E-2</v>
      </c>
      <c r="Q15" s="2" t="s">
        <v>350</v>
      </c>
      <c r="R15" s="2"/>
      <c r="S15" s="220" t="s">
        <v>354</v>
      </c>
      <c r="T15" s="2"/>
      <c r="U15" s="113">
        <f>'Scenarios '!G12</f>
        <v>0.05</v>
      </c>
      <c r="V15" s="2"/>
      <c r="Z15" s="5" t="s">
        <v>356</v>
      </c>
      <c r="AA15" s="5" t="s">
        <v>216</v>
      </c>
      <c r="AB15" s="180">
        <f t="shared" ref="AB15:AH15" si="8">AB13+AB8</f>
        <v>4054.377618320611</v>
      </c>
      <c r="AC15" s="180">
        <f t="shared" si="8"/>
        <v>4043.436664259928</v>
      </c>
      <c r="AD15" s="181">
        <f t="shared" si="8"/>
        <v>4225.4141334248852</v>
      </c>
      <c r="AE15" s="180">
        <f t="shared" si="8"/>
        <v>4398.0100525924699</v>
      </c>
      <c r="AF15" s="180">
        <f t="shared" si="8"/>
        <v>4559.4728977649102</v>
      </c>
      <c r="AG15" s="180">
        <f t="shared" si="8"/>
        <v>4713.7207988045393</v>
      </c>
      <c r="AH15" s="180">
        <f t="shared" si="8"/>
        <v>4867.692056797534</v>
      </c>
    </row>
    <row r="16" spans="2:36" ht="15" thickTop="1">
      <c r="S16" s="220"/>
      <c r="T16" s="2"/>
      <c r="AD16" s="182"/>
    </row>
    <row r="17" spans="1:36">
      <c r="C17" s="32" t="str">
        <f>'3FS'!$B$7&amp;"*"</f>
        <v xml:space="preserve">  Total Revenue*</v>
      </c>
      <c r="D17" s="33" t="s">
        <v>216</v>
      </c>
      <c r="E17" s="34">
        <f t="shared" ref="E17:K17" si="9">E7</f>
        <v>7509</v>
      </c>
      <c r="F17" s="34">
        <f t="shared" si="9"/>
        <v>5413</v>
      </c>
      <c r="G17" s="34">
        <f t="shared" si="9"/>
        <v>6785</v>
      </c>
      <c r="H17" s="34">
        <f t="shared" si="9"/>
        <v>6344</v>
      </c>
      <c r="I17" s="34">
        <f t="shared" si="9"/>
        <v>6182</v>
      </c>
      <c r="J17" s="34">
        <f t="shared" si="9"/>
        <v>6230</v>
      </c>
      <c r="K17" s="35">
        <f t="shared" si="9"/>
        <v>6454</v>
      </c>
      <c r="Q17" t="s">
        <v>322</v>
      </c>
      <c r="S17" s="220" t="s">
        <v>345</v>
      </c>
      <c r="T17" s="2"/>
      <c r="U17" s="112">
        <f>(((G64/E64)^0.5-1)+G65)/2</f>
        <v>6.7723591278671003E-2</v>
      </c>
      <c r="V17" s="2"/>
      <c r="Z17" s="5" t="s">
        <v>336</v>
      </c>
      <c r="AA17" s="5" t="s">
        <v>216</v>
      </c>
      <c r="AB17" s="98">
        <f>F116</f>
        <v>1937.9157641395914</v>
      </c>
      <c r="AC17" s="98">
        <f>G116</f>
        <v>1980.3870967741941</v>
      </c>
      <c r="AD17" s="208">
        <f>AC17*(1+AD18)</f>
        <v>2174.1761742356152</v>
      </c>
      <c r="AE17" s="98">
        <f t="shared" ref="AE17:AH17" si="10">AD17*(1+AE18)</f>
        <v>2323.1026730049784</v>
      </c>
      <c r="AF17" s="98">
        <f t="shared" si="10"/>
        <v>2450.4047937704277</v>
      </c>
      <c r="AG17" s="98">
        <f t="shared" si="10"/>
        <v>2557.8272441358422</v>
      </c>
      <c r="AH17" s="98">
        <f t="shared" si="10"/>
        <v>2647.5326090208669</v>
      </c>
    </row>
    <row r="18" spans="1:36" ht="15" thickBot="1">
      <c r="B18" s="74"/>
      <c r="C18" s="74"/>
      <c r="D18" s="74"/>
      <c r="E18" s="74"/>
      <c r="F18" s="74"/>
      <c r="G18" s="74"/>
      <c r="H18" s="74"/>
      <c r="I18" s="74"/>
      <c r="J18" s="74"/>
      <c r="K18" s="74"/>
      <c r="L18" s="74"/>
      <c r="Q18" s="2" t="s">
        <v>323</v>
      </c>
      <c r="R18" s="2"/>
      <c r="S18" s="220" t="s">
        <v>255</v>
      </c>
      <c r="T18" s="2"/>
      <c r="U18" s="113">
        <f>'Scenarios '!G19</f>
        <v>3.5000000000000003E-2</v>
      </c>
      <c r="V18" s="172"/>
      <c r="Z18" s="42" t="s">
        <v>338</v>
      </c>
      <c r="AA18" s="42" t="s">
        <v>4</v>
      </c>
      <c r="AB18" s="42"/>
      <c r="AC18" s="109">
        <f>AC17/AB17-1</f>
        <v>2.19159849052879E-2</v>
      </c>
      <c r="AD18" s="183">
        <f>'Scenarios '!G27</f>
        <v>9.7854140625880354E-2</v>
      </c>
      <c r="AE18" s="207">
        <f>AD18*0.7</f>
        <v>6.8497898438116239E-2</v>
      </c>
      <c r="AF18" s="207">
        <f t="shared" ref="AF18:AH18" si="11">AE18*0.8</f>
        <v>5.4798318750492993E-2</v>
      </c>
      <c r="AG18" s="207">
        <f t="shared" si="11"/>
        <v>4.3838655000394397E-2</v>
      </c>
      <c r="AH18" s="207">
        <f t="shared" si="11"/>
        <v>3.5070924000315522E-2</v>
      </c>
    </row>
    <row r="19" spans="1:36">
      <c r="AD19" s="25"/>
    </row>
    <row r="20" spans="1:36">
      <c r="Z20" s="5" t="s">
        <v>337</v>
      </c>
      <c r="AA20" s="5" t="s">
        <v>216</v>
      </c>
      <c r="AB20" s="98">
        <f>F120</f>
        <v>77.084235860408626</v>
      </c>
      <c r="AC20" s="98">
        <f>G120</f>
        <v>61.612903225805894</v>
      </c>
      <c r="AD20" s="208">
        <f>((AB20+AC20)/2)*(1+AD21)</f>
        <v>71.025078678382158</v>
      </c>
      <c r="AE20" s="98">
        <f t="shared" ref="AE20:AH20" si="12">AD20*(1+AE21)</f>
        <v>73.155831038733623</v>
      </c>
      <c r="AF20" s="98">
        <f t="shared" si="12"/>
        <v>75.7162851250893</v>
      </c>
      <c r="AG20" s="98">
        <f t="shared" si="12"/>
        <v>78.593503959842693</v>
      </c>
      <c r="AH20" s="98">
        <f t="shared" si="12"/>
        <v>81.737244118236404</v>
      </c>
    </row>
    <row r="21" spans="1:36">
      <c r="Q21" s="2" t="s">
        <v>344</v>
      </c>
      <c r="R21" s="2"/>
      <c r="S21" s="2" t="s">
        <v>359</v>
      </c>
      <c r="T21" s="2"/>
      <c r="U21" s="113">
        <f>((G116/E116)^0.5-1)</f>
        <v>5.7854140625880346E-2</v>
      </c>
      <c r="V21" s="2"/>
      <c r="Z21" s="42" t="s">
        <v>338</v>
      </c>
      <c r="AA21" s="42" t="s">
        <v>4</v>
      </c>
      <c r="AB21" s="42"/>
      <c r="AC21" s="109">
        <f>AC20/AB20-1</f>
        <v>-0.20070683015681279</v>
      </c>
      <c r="AD21" s="183">
        <f>'Scenarios '!G34</f>
        <v>2.417510766725741E-2</v>
      </c>
      <c r="AE21" s="206">
        <f>'Scenarios '!H34</f>
        <v>0.03</v>
      </c>
      <c r="AF21" s="206">
        <f>'Scenarios '!I34</f>
        <v>3.5000000000000003E-2</v>
      </c>
      <c r="AG21" s="206">
        <f>'Scenarios '!J34</f>
        <v>3.7999999999999999E-2</v>
      </c>
      <c r="AH21" s="206">
        <f>'Scenarios '!K34</f>
        <v>0.04</v>
      </c>
    </row>
    <row r="22" spans="1:36">
      <c r="AD22" s="40"/>
    </row>
    <row r="23" spans="1:36">
      <c r="B23" t="s">
        <v>93</v>
      </c>
      <c r="C23" s="17" t="s">
        <v>238</v>
      </c>
      <c r="D23" s="2"/>
      <c r="E23" s="2"/>
      <c r="F23" s="2"/>
      <c r="G23" s="2"/>
      <c r="H23" s="2"/>
      <c r="I23" s="2"/>
      <c r="J23" s="2"/>
      <c r="K23" s="2"/>
      <c r="L23" t="s">
        <v>93</v>
      </c>
      <c r="Q23" s="2" t="s">
        <v>346</v>
      </c>
      <c r="R23" s="2"/>
      <c r="S23" s="2" t="s">
        <v>345</v>
      </c>
      <c r="T23" s="2"/>
      <c r="U23" s="113">
        <f>(((G120/E120)^(0.5)-1)+F121)/2</f>
        <v>-1.5824892332742591E-2</v>
      </c>
      <c r="V23" s="2"/>
      <c r="Z23" s="5" t="s">
        <v>6</v>
      </c>
      <c r="AA23" s="5" t="s">
        <v>216</v>
      </c>
      <c r="AB23" s="99">
        <f>AB20+AB17</f>
        <v>2015</v>
      </c>
      <c r="AC23" s="209">
        <f>AC20+AC17</f>
        <v>2042</v>
      </c>
      <c r="AD23" s="98">
        <f t="shared" ref="AD23:AH23" si="13">AD20+AD17</f>
        <v>2245.2012529139975</v>
      </c>
      <c r="AE23" s="99">
        <f t="shared" si="13"/>
        <v>2396.258504043712</v>
      </c>
      <c r="AF23" s="99">
        <f t="shared" si="13"/>
        <v>2526.1210788955168</v>
      </c>
      <c r="AG23" s="99">
        <f t="shared" si="13"/>
        <v>2636.4207480956848</v>
      </c>
      <c r="AH23" s="99">
        <f t="shared" si="13"/>
        <v>2729.2698531391034</v>
      </c>
    </row>
    <row r="24" spans="1:36">
      <c r="C24" s="3"/>
      <c r="D24" s="3"/>
      <c r="E24" s="3"/>
      <c r="AD24" s="25"/>
    </row>
    <row r="25" spans="1:36" s="42" customFormat="1">
      <c r="A25"/>
      <c r="B25"/>
      <c r="C25"/>
      <c r="D25"/>
      <c r="E25" t="s">
        <v>205</v>
      </c>
      <c r="F25" s="23" t="s">
        <v>206</v>
      </c>
      <c r="G25" s="23" t="s">
        <v>9</v>
      </c>
      <c r="H25"/>
      <c r="I25"/>
      <c r="J25"/>
      <c r="K25"/>
      <c r="L25"/>
      <c r="M25"/>
      <c r="N25"/>
      <c r="O25"/>
      <c r="P25"/>
      <c r="W25"/>
      <c r="X25"/>
      <c r="Y25"/>
      <c r="Z25"/>
      <c r="AA25"/>
      <c r="AB25"/>
      <c r="AC25"/>
      <c r="AD25" s="40"/>
      <c r="AE25"/>
      <c r="AF25"/>
      <c r="AG25"/>
      <c r="AH25"/>
      <c r="AI25"/>
    </row>
    <row r="26" spans="1:36" ht="15" thickBot="1">
      <c r="C26" s="3"/>
      <c r="E26" s="3" t="s">
        <v>212</v>
      </c>
      <c r="F26" s="3" t="s">
        <v>213</v>
      </c>
      <c r="G26" s="3" t="s">
        <v>240</v>
      </c>
      <c r="Z26" s="5" t="s">
        <v>8</v>
      </c>
      <c r="AA26" s="5" t="s">
        <v>216</v>
      </c>
      <c r="AB26" s="281">
        <f>'3FS'!G5</f>
        <v>6182</v>
      </c>
      <c r="AC26" s="281">
        <f>'3FS'!H5</f>
        <v>6230</v>
      </c>
      <c r="AD26" s="212">
        <f>AD23+AD15</f>
        <v>6470.6153863388827</v>
      </c>
      <c r="AE26" s="211">
        <f>AE23+AE15</f>
        <v>6794.2685566361815</v>
      </c>
      <c r="AF26" s="211">
        <f t="shared" ref="AF26:AH26" si="14">AF23+AF15</f>
        <v>7085.593976660427</v>
      </c>
      <c r="AG26" s="211">
        <f t="shared" si="14"/>
        <v>7350.1415469002241</v>
      </c>
      <c r="AH26" s="211">
        <f t="shared" si="14"/>
        <v>7596.9619099366373</v>
      </c>
    </row>
    <row r="27" spans="1:36" ht="15" thickTop="1">
      <c r="C27" t="s">
        <v>234</v>
      </c>
      <c r="D27" s="50" t="s">
        <v>216</v>
      </c>
      <c r="F27" s="54">
        <v>3480</v>
      </c>
      <c r="G27" s="54">
        <v>3428</v>
      </c>
      <c r="H27" s="87"/>
      <c r="Z27" s="42" t="s">
        <v>338</v>
      </c>
      <c r="AA27" s="42" t="s">
        <v>4</v>
      </c>
      <c r="AB27" s="42"/>
      <c r="AC27" s="110">
        <f>AC26/AB26-1</f>
        <v>7.7644775153671297E-3</v>
      </c>
      <c r="AD27" s="110">
        <f>AD26/AC26-1</f>
        <v>3.8622052381843019E-2</v>
      </c>
      <c r="AE27" s="110">
        <f t="shared" ref="AE27:AH27" si="15">AE26/AD26-1</f>
        <v>5.0018916435770944E-2</v>
      </c>
      <c r="AF27" s="110">
        <f t="shared" si="15"/>
        <v>4.2878113750699276E-2</v>
      </c>
      <c r="AG27" s="110">
        <f t="shared" si="15"/>
        <v>3.7335976505456392E-2</v>
      </c>
      <c r="AH27" s="110">
        <f t="shared" si="15"/>
        <v>3.3580355080441215E-2</v>
      </c>
    </row>
    <row r="28" spans="1:36">
      <c r="C28" s="42" t="s">
        <v>239</v>
      </c>
      <c r="F28" s="45">
        <f>F27/F33</f>
        <v>0.56292461986412168</v>
      </c>
      <c r="G28" s="45">
        <f>G27/G33</f>
        <v>0.55024077046548958</v>
      </c>
      <c r="AC28" s="42" t="s">
        <v>360</v>
      </c>
      <c r="AD28" s="210">
        <f>'Assumptions and Inputs'!F7</f>
        <v>6454</v>
      </c>
    </row>
    <row r="29" spans="1:36">
      <c r="C29" t="s">
        <v>235</v>
      </c>
      <c r="D29" s="26" t="s">
        <v>216</v>
      </c>
      <c r="F29" s="54">
        <v>2015</v>
      </c>
      <c r="G29" s="54">
        <v>2042</v>
      </c>
    </row>
    <row r="30" spans="1:36">
      <c r="C30" s="42" t="s">
        <v>239</v>
      </c>
      <c r="F30" s="45">
        <f>F29/F33</f>
        <v>0.32594629569718536</v>
      </c>
      <c r="G30" s="45">
        <f>G29/G33</f>
        <v>0.32776886035313002</v>
      </c>
      <c r="Y30" t="s">
        <v>93</v>
      </c>
      <c r="AJ30" t="s">
        <v>93</v>
      </c>
    </row>
    <row r="31" spans="1:36">
      <c r="C31" t="s">
        <v>236</v>
      </c>
      <c r="D31" s="26" t="s">
        <v>216</v>
      </c>
      <c r="F31" s="54">
        <v>687</v>
      </c>
      <c r="G31" s="54">
        <v>760</v>
      </c>
    </row>
    <row r="32" spans="1:36">
      <c r="C32" s="49" t="s">
        <v>239</v>
      </c>
      <c r="D32" s="3"/>
      <c r="F32" s="44">
        <f>F31/F33</f>
        <v>0.11112908443869297</v>
      </c>
      <c r="G32" s="44">
        <f>G31/G33</f>
        <v>0.12199036918138041</v>
      </c>
    </row>
    <row r="33" spans="2:33" ht="15" thickBot="1">
      <c r="C33" t="s">
        <v>237</v>
      </c>
      <c r="D33" s="26" t="s">
        <v>216</v>
      </c>
      <c r="E33" s="23"/>
      <c r="F33" s="43">
        <f>F27+F29+F31</f>
        <v>6182</v>
      </c>
      <c r="G33" s="43">
        <f>G27+G29+G31</f>
        <v>6230</v>
      </c>
    </row>
    <row r="34" spans="2:33" ht="15" thickTop="1"/>
    <row r="36" spans="2:33" ht="18">
      <c r="B36" t="s">
        <v>93</v>
      </c>
      <c r="C36" s="95" t="s">
        <v>311</v>
      </c>
      <c r="D36" s="94"/>
      <c r="E36" s="94"/>
      <c r="F36" s="94"/>
      <c r="G36" s="94"/>
    </row>
    <row r="37" spans="2:33">
      <c r="Z37" t="s">
        <v>226</v>
      </c>
      <c r="AB37" t="str">
        <f>J5</f>
        <v>2024A</v>
      </c>
      <c r="AC37" t="s">
        <v>10</v>
      </c>
      <c r="AD37" t="s">
        <v>11</v>
      </c>
      <c r="AE37" t="s">
        <v>12</v>
      </c>
      <c r="AF37" t="s">
        <v>13</v>
      </c>
      <c r="AG37" t="s">
        <v>14</v>
      </c>
    </row>
    <row r="38" spans="2:33">
      <c r="C38" s="17" t="s">
        <v>292</v>
      </c>
      <c r="D38" s="2"/>
      <c r="E38" s="2"/>
      <c r="F38" s="2"/>
      <c r="G38" s="2"/>
      <c r="Z38" t="s">
        <v>215</v>
      </c>
      <c r="AB38" t="str">
        <f>K6</f>
        <v>FY0 (Base)</v>
      </c>
      <c r="AC38" t="s">
        <v>229</v>
      </c>
      <c r="AD38" t="s">
        <v>230</v>
      </c>
      <c r="AE38" t="s">
        <v>231</v>
      </c>
      <c r="AF38" t="s">
        <v>232</v>
      </c>
      <c r="AG38" t="s">
        <v>233</v>
      </c>
    </row>
    <row r="39" spans="2:33">
      <c r="C39" s="22" t="s">
        <v>250</v>
      </c>
      <c r="D39" s="23" t="s">
        <v>251</v>
      </c>
      <c r="E39" s="79">
        <v>4558</v>
      </c>
      <c r="F39" s="79">
        <v>4038</v>
      </c>
      <c r="G39" s="80">
        <v>4038</v>
      </c>
      <c r="Z39" t="s">
        <v>6</v>
      </c>
      <c r="AA39" t="s">
        <v>216</v>
      </c>
    </row>
    <row r="40" spans="2:33">
      <c r="C40" s="81" t="s">
        <v>252</v>
      </c>
      <c r="D40" s="3" t="s">
        <v>216</v>
      </c>
      <c r="E40" s="3">
        <f>E39/1000</f>
        <v>4.5579999999999998</v>
      </c>
      <c r="F40" s="3">
        <f>F39/1000</f>
        <v>4.0380000000000003</v>
      </c>
      <c r="G40" s="47">
        <f>G39/1000</f>
        <v>4.0380000000000003</v>
      </c>
      <c r="Z40" s="42" t="s">
        <v>217</v>
      </c>
      <c r="AA40" s="42" t="s">
        <v>4</v>
      </c>
    </row>
    <row r="41" spans="2:33">
      <c r="C41" t="s">
        <v>285</v>
      </c>
      <c r="E41" s="84">
        <v>812</v>
      </c>
      <c r="F41" s="77">
        <v>808</v>
      </c>
      <c r="G41" s="77">
        <v>782</v>
      </c>
    </row>
    <row r="42" spans="2:33">
      <c r="C42" t="s">
        <v>286</v>
      </c>
      <c r="E42" s="84">
        <v>25</v>
      </c>
      <c r="F42" s="76">
        <v>23</v>
      </c>
      <c r="G42" s="76">
        <v>24</v>
      </c>
      <c r="Z42" t="s">
        <v>7</v>
      </c>
      <c r="AA42" t="s">
        <v>216</v>
      </c>
    </row>
    <row r="43" spans="2:33">
      <c r="C43" t="s">
        <v>287</v>
      </c>
      <c r="E43" s="85">
        <v>6</v>
      </c>
      <c r="F43" s="76">
        <v>6</v>
      </c>
      <c r="G43" s="76">
        <v>6</v>
      </c>
      <c r="Z43" s="42" t="s">
        <v>217</v>
      </c>
      <c r="AA43" s="42" t="s">
        <v>4</v>
      </c>
    </row>
    <row r="44" spans="2:33">
      <c r="C44" t="s">
        <v>309</v>
      </c>
      <c r="E44" s="78">
        <f>SUM(E41:E42)</f>
        <v>837</v>
      </c>
      <c r="F44" s="78">
        <f t="shared" ref="F44:G44" si="16">SUM(F41:F42)</f>
        <v>831</v>
      </c>
      <c r="G44" s="78">
        <f t="shared" si="16"/>
        <v>806</v>
      </c>
    </row>
    <row r="45" spans="2:33" ht="15" thickBot="1">
      <c r="C45" s="42" t="s">
        <v>253</v>
      </c>
      <c r="D45" s="42" t="s">
        <v>4</v>
      </c>
      <c r="E45" s="86"/>
      <c r="F45" s="68">
        <f>F44/E44-1</f>
        <v>-7.1684587813619638E-3</v>
      </c>
      <c r="G45" s="68">
        <f>G44/F44-1</f>
        <v>-3.0084235860409092E-2</v>
      </c>
      <c r="Z45" t="s">
        <v>8</v>
      </c>
    </row>
    <row r="46" spans="2:33" ht="15" thickTop="1">
      <c r="Z46" s="42" t="s">
        <v>228</v>
      </c>
      <c r="AA46" s="42" t="s">
        <v>4</v>
      </c>
      <c r="AB46" s="48">
        <f>J14</f>
        <v>-3.6656462138130563E-2</v>
      </c>
      <c r="AC46" s="48">
        <f>L14</f>
        <v>0</v>
      </c>
    </row>
    <row r="47" spans="2:33">
      <c r="C47" s="17" t="s">
        <v>290</v>
      </c>
      <c r="D47" s="17"/>
      <c r="E47" s="2"/>
      <c r="F47" s="17"/>
      <c r="G47" s="17"/>
    </row>
    <row r="48" spans="2:33">
      <c r="C48" s="82" t="s">
        <v>289</v>
      </c>
    </row>
    <row r="49" spans="3:7">
      <c r="F49" s="76"/>
      <c r="G49" s="76"/>
    </row>
    <row r="50" spans="3:7">
      <c r="C50" s="75" t="s">
        <v>293</v>
      </c>
      <c r="E50" s="76">
        <v>13</v>
      </c>
      <c r="F50" s="76">
        <v>13</v>
      </c>
      <c r="G50" s="76">
        <v>13</v>
      </c>
    </row>
    <row r="52" spans="3:7">
      <c r="C52" s="82" t="s">
        <v>291</v>
      </c>
    </row>
    <row r="53" spans="3:7">
      <c r="C53" t="s">
        <v>288</v>
      </c>
      <c r="E53" s="76">
        <v>308</v>
      </c>
      <c r="F53" s="76">
        <v>307</v>
      </c>
      <c r="G53" s="76">
        <v>324</v>
      </c>
    </row>
    <row r="54" spans="3:7">
      <c r="C54" t="s">
        <v>284</v>
      </c>
      <c r="E54" s="83">
        <v>135</v>
      </c>
      <c r="F54" s="76">
        <v>156</v>
      </c>
      <c r="G54" s="76">
        <v>181</v>
      </c>
    </row>
    <row r="55" spans="3:7">
      <c r="C55" t="s">
        <v>294</v>
      </c>
      <c r="E55" s="23">
        <f>SUM(E49:E54)</f>
        <v>456</v>
      </c>
      <c r="F55" s="23">
        <f>SUM(F49:F54)</f>
        <v>476</v>
      </c>
      <c r="G55" s="23">
        <f>SUM(G49:G54)</f>
        <v>518</v>
      </c>
    </row>
    <row r="56" spans="3:7" ht="15" thickBot="1">
      <c r="C56" s="42" t="s">
        <v>253</v>
      </c>
      <c r="D56" s="42" t="s">
        <v>4</v>
      </c>
      <c r="F56" s="68">
        <f>F55/E55-1</f>
        <v>4.3859649122806932E-2</v>
      </c>
      <c r="G56" s="68">
        <f>G55/F55-1</f>
        <v>8.8235294117646967E-2</v>
      </c>
    </row>
    <row r="57" spans="3:7" ht="15" thickTop="1"/>
    <row r="58" spans="3:7">
      <c r="C58" s="17" t="s">
        <v>295</v>
      </c>
      <c r="D58" s="17"/>
      <c r="E58" s="17"/>
      <c r="F58" s="17"/>
      <c r="G58" s="17"/>
    </row>
    <row r="59" spans="3:7">
      <c r="C59" t="s">
        <v>288</v>
      </c>
      <c r="E59" s="84">
        <f>39-E50</f>
        <v>26</v>
      </c>
      <c r="F59" s="84">
        <f>34-F50</f>
        <v>21</v>
      </c>
      <c r="G59" s="84">
        <f>30-G50</f>
        <v>17</v>
      </c>
    </row>
    <row r="60" spans="3:7">
      <c r="C60" t="s">
        <v>284</v>
      </c>
      <c r="E60" s="85">
        <v>33</v>
      </c>
      <c r="F60" s="85">
        <v>36</v>
      </c>
      <c r="G60" s="85">
        <v>40</v>
      </c>
    </row>
    <row r="61" spans="3:7">
      <c r="C61" t="s">
        <v>294</v>
      </c>
      <c r="E61">
        <f>SUM(E59:E60)</f>
        <v>59</v>
      </c>
      <c r="F61">
        <f t="shared" ref="F61:G61" si="17">SUM(F59:F60)</f>
        <v>57</v>
      </c>
      <c r="G61">
        <f t="shared" si="17"/>
        <v>57</v>
      </c>
    </row>
    <row r="62" spans="3:7" ht="15" thickBot="1">
      <c r="C62" s="42" t="s">
        <v>253</v>
      </c>
      <c r="D62" s="42" t="s">
        <v>4</v>
      </c>
      <c r="F62" s="68">
        <f>F61/E61-1</f>
        <v>-3.3898305084745783E-2</v>
      </c>
      <c r="G62" s="68">
        <f>G61/F61-1</f>
        <v>0</v>
      </c>
    </row>
    <row r="63" spans="3:7" ht="15" thickTop="1"/>
    <row r="64" spans="3:7">
      <c r="C64" s="22" t="s">
        <v>306</v>
      </c>
      <c r="D64" s="23"/>
      <c r="E64" s="23">
        <f>E61+E55</f>
        <v>515</v>
      </c>
      <c r="F64" s="23">
        <f t="shared" ref="F64:G64" si="18">F61+F55</f>
        <v>533</v>
      </c>
      <c r="G64" s="24">
        <f t="shared" si="18"/>
        <v>575</v>
      </c>
    </row>
    <row r="65" spans="2:13" ht="15" thickBot="1">
      <c r="C65" s="81" t="s">
        <v>253</v>
      </c>
      <c r="D65" s="49" t="s">
        <v>4</v>
      </c>
      <c r="E65" s="3"/>
      <c r="F65" s="88">
        <f>F64/E64-1</f>
        <v>3.4951456310679641E-2</v>
      </c>
      <c r="G65" s="92">
        <f>G64/F64-1</f>
        <v>7.879924953095685E-2</v>
      </c>
    </row>
    <row r="66" spans="2:13" ht="15" thickTop="1"/>
    <row r="67" spans="2:13">
      <c r="C67" s="89" t="s">
        <v>307</v>
      </c>
      <c r="D67" s="90"/>
      <c r="E67" s="90">
        <f>E61+E55+E44</f>
        <v>1352</v>
      </c>
      <c r="F67" s="90">
        <f>F61+F55+F44</f>
        <v>1364</v>
      </c>
      <c r="G67" s="91">
        <f>G61+G55+G44</f>
        <v>1381</v>
      </c>
    </row>
    <row r="68" spans="2:13" ht="15" thickBot="1">
      <c r="C68" s="81" t="s">
        <v>253</v>
      </c>
      <c r="D68" s="49" t="s">
        <v>4</v>
      </c>
      <c r="E68" s="3"/>
      <c r="F68" s="68">
        <f>F67/E67-1</f>
        <v>8.8757396449703485E-3</v>
      </c>
      <c r="G68" s="93">
        <f>G67/F67-1</f>
        <v>1.2463343108504388E-2</v>
      </c>
    </row>
    <row r="69" spans="2:13" ht="15" thickTop="1"/>
    <row r="75" spans="2:13">
      <c r="C75" s="94"/>
      <c r="D75" s="94"/>
      <c r="E75" s="94"/>
      <c r="F75" s="94"/>
      <c r="G75" s="94"/>
    </row>
    <row r="77" spans="2:13">
      <c r="E77" t="s">
        <v>205</v>
      </c>
      <c r="F77" t="s">
        <v>206</v>
      </c>
      <c r="G77" t="s">
        <v>9</v>
      </c>
      <c r="I77" t="s">
        <v>246</v>
      </c>
      <c r="K77">
        <v>831</v>
      </c>
      <c r="L77">
        <v>806</v>
      </c>
      <c r="M77">
        <v>781.75210589651022</v>
      </c>
    </row>
    <row r="78" spans="2:13">
      <c r="B78" s="17"/>
      <c r="C78" s="17" t="s">
        <v>308</v>
      </c>
      <c r="D78" s="17"/>
      <c r="E78" s="17"/>
      <c r="F78" s="17"/>
      <c r="G78" s="17"/>
      <c r="I78" t="s">
        <v>256</v>
      </c>
      <c r="J78" t="s">
        <v>4</v>
      </c>
      <c r="L78">
        <v>0</v>
      </c>
      <c r="M78">
        <v>0.02</v>
      </c>
    </row>
    <row r="79" spans="2:13">
      <c r="I79" t="s">
        <v>247</v>
      </c>
      <c r="J79" t="s">
        <v>216</v>
      </c>
      <c r="K79">
        <v>4.0380000000000003</v>
      </c>
      <c r="L79">
        <v>4.0380000000000003</v>
      </c>
      <c r="M79">
        <v>4.11876</v>
      </c>
    </row>
    <row r="80" spans="2:13">
      <c r="C80" t="s">
        <v>298</v>
      </c>
      <c r="D80" t="s">
        <v>216</v>
      </c>
      <c r="E80" s="84">
        <v>5514</v>
      </c>
      <c r="F80" s="84">
        <v>5272</v>
      </c>
      <c r="G80" s="84">
        <v>5252</v>
      </c>
      <c r="I80" t="s">
        <v>248</v>
      </c>
      <c r="J80" t="s">
        <v>216</v>
      </c>
      <c r="K80">
        <v>3355.5780000000004</v>
      </c>
      <c r="L80">
        <v>3254.6280000000002</v>
      </c>
      <c r="M80">
        <v>3219.8493036823106</v>
      </c>
    </row>
    <row r="81" spans="2:9">
      <c r="C81" t="s">
        <v>299</v>
      </c>
      <c r="D81" t="s">
        <v>216</v>
      </c>
      <c r="E81" s="84">
        <v>830</v>
      </c>
      <c r="F81" s="84">
        <v>910</v>
      </c>
      <c r="G81" s="84">
        <v>978</v>
      </c>
    </row>
    <row r="82" spans="2:9">
      <c r="C82" t="s">
        <v>296</v>
      </c>
      <c r="E82">
        <f>SUM(E80:E81)</f>
        <v>6344</v>
      </c>
      <c r="F82">
        <f t="shared" ref="F82:G82" si="19">SUM(F80:F81)</f>
        <v>6182</v>
      </c>
      <c r="G82">
        <f t="shared" si="19"/>
        <v>6230</v>
      </c>
    </row>
    <row r="84" spans="2:9">
      <c r="B84" s="17"/>
      <c r="C84" s="17" t="s">
        <v>300</v>
      </c>
      <c r="D84" s="17"/>
      <c r="E84" s="17"/>
      <c r="F84" s="17"/>
      <c r="G84" s="17"/>
      <c r="I84">
        <f>G40*G41</f>
        <v>3157.7160000000003</v>
      </c>
    </row>
    <row r="86" spans="2:9">
      <c r="C86" t="s">
        <v>301</v>
      </c>
      <c r="D86" t="s">
        <v>216</v>
      </c>
      <c r="E86" s="84">
        <v>3909</v>
      </c>
      <c r="F86" s="84">
        <v>3480</v>
      </c>
      <c r="G86" s="84">
        <v>3428</v>
      </c>
      <c r="H86" s="42" t="s">
        <v>305</v>
      </c>
    </row>
    <row r="87" spans="2:9">
      <c r="C87" t="s">
        <v>235</v>
      </c>
      <c r="D87" t="s">
        <v>216</v>
      </c>
      <c r="E87" s="84">
        <v>1843</v>
      </c>
      <c r="F87" s="84">
        <v>2015</v>
      </c>
      <c r="G87" s="84">
        <v>2042</v>
      </c>
      <c r="H87" s="42" t="s">
        <v>304</v>
      </c>
    </row>
    <row r="88" spans="2:9">
      <c r="C88" t="s">
        <v>302</v>
      </c>
      <c r="D88" t="s">
        <v>216</v>
      </c>
      <c r="E88" s="84">
        <v>592</v>
      </c>
      <c r="F88" s="84">
        <v>687</v>
      </c>
      <c r="G88" s="84">
        <v>760</v>
      </c>
      <c r="H88" s="42" t="s">
        <v>303</v>
      </c>
    </row>
    <row r="89" spans="2:9">
      <c r="C89" t="s">
        <v>296</v>
      </c>
      <c r="E89">
        <f>SUM(E86:E88)</f>
        <v>6344</v>
      </c>
      <c r="F89">
        <f>SUM(F86:F88)</f>
        <v>6182</v>
      </c>
      <c r="G89">
        <f>SUM(G86:G88)</f>
        <v>6230</v>
      </c>
    </row>
    <row r="91" spans="2:9" ht="18">
      <c r="B91" t="s">
        <v>93</v>
      </c>
      <c r="C91" s="95" t="s">
        <v>329</v>
      </c>
      <c r="D91" s="100"/>
      <c r="E91" s="100"/>
      <c r="F91" s="100"/>
      <c r="G91" s="100"/>
    </row>
    <row r="93" spans="2:9">
      <c r="C93" s="5" t="s">
        <v>324</v>
      </c>
      <c r="D93" s="5" t="s">
        <v>216</v>
      </c>
      <c r="E93" s="5">
        <f>E86</f>
        <v>3909</v>
      </c>
      <c r="F93" s="5">
        <f t="shared" ref="F93:G93" si="20">F86</f>
        <v>3480</v>
      </c>
      <c r="G93" s="5">
        <f t="shared" si="20"/>
        <v>3428</v>
      </c>
    </row>
    <row r="94" spans="2:9">
      <c r="C94" t="s">
        <v>332</v>
      </c>
      <c r="D94" t="s">
        <v>216</v>
      </c>
      <c r="E94" s="3">
        <f>E40</f>
        <v>4.5579999999999998</v>
      </c>
      <c r="F94" s="3">
        <f t="shared" ref="F94:G94" si="21">F40</f>
        <v>4.0380000000000003</v>
      </c>
      <c r="G94" s="3">
        <f t="shared" si="21"/>
        <v>4.0380000000000003</v>
      </c>
    </row>
    <row r="95" spans="2:9">
      <c r="C95" t="s">
        <v>331</v>
      </c>
      <c r="E95" s="52">
        <f>E93/E94</f>
        <v>857.61298815269856</v>
      </c>
      <c r="F95" s="52">
        <f t="shared" ref="F95:G95" si="22">F93/F94</f>
        <v>861.81277860326884</v>
      </c>
      <c r="G95" s="52">
        <f t="shared" si="22"/>
        <v>848.93511639425458</v>
      </c>
    </row>
    <row r="96" spans="2:9">
      <c r="C96" s="101" t="s">
        <v>325</v>
      </c>
      <c r="D96" s="102"/>
      <c r="E96" s="103">
        <f>E44</f>
        <v>837</v>
      </c>
      <c r="F96" s="103">
        <f t="shared" ref="F96:G96" si="23">F44</f>
        <v>831</v>
      </c>
      <c r="G96" s="103">
        <f t="shared" si="23"/>
        <v>806</v>
      </c>
    </row>
    <row r="98" spans="2:7" ht="18">
      <c r="B98" t="s">
        <v>93</v>
      </c>
      <c r="C98" s="95" t="s">
        <v>328</v>
      </c>
      <c r="D98" s="94"/>
      <c r="E98" s="94"/>
      <c r="F98" s="94"/>
      <c r="G98" s="94"/>
    </row>
    <row r="100" spans="2:7">
      <c r="C100" s="5" t="s">
        <v>321</v>
      </c>
      <c r="D100" s="5" t="s">
        <v>216</v>
      </c>
      <c r="E100" s="98">
        <f>E88</f>
        <v>592</v>
      </c>
      <c r="F100" s="98">
        <f>F88</f>
        <v>687</v>
      </c>
      <c r="G100" s="98">
        <f>G88</f>
        <v>760</v>
      </c>
    </row>
    <row r="101" spans="2:7">
      <c r="C101" t="s">
        <v>330</v>
      </c>
      <c r="E101" s="69">
        <f>E64</f>
        <v>515</v>
      </c>
      <c r="F101" s="97">
        <f>F64</f>
        <v>533</v>
      </c>
      <c r="G101" s="97">
        <f>G64</f>
        <v>575</v>
      </c>
    </row>
    <row r="102" spans="2:7">
      <c r="C102" t="s">
        <v>333</v>
      </c>
      <c r="F102">
        <f>(E101+F101)/2</f>
        <v>524</v>
      </c>
      <c r="G102">
        <f>(F101+G101)/2</f>
        <v>554</v>
      </c>
    </row>
    <row r="103" spans="2:7">
      <c r="C103" t="s">
        <v>334</v>
      </c>
      <c r="D103" t="s">
        <v>216</v>
      </c>
      <c r="F103" s="106">
        <f>F100/F102</f>
        <v>1.3110687022900764</v>
      </c>
      <c r="G103" s="106">
        <f>G100/G102</f>
        <v>1.371841155234657</v>
      </c>
    </row>
    <row r="105" spans="2:7">
      <c r="C105" s="5" t="s">
        <v>326</v>
      </c>
      <c r="D105" s="5" t="s">
        <v>216</v>
      </c>
      <c r="E105" s="98">
        <f>E100+E124+E93</f>
        <v>6344</v>
      </c>
      <c r="F105" s="98">
        <f>F100+F124+F93</f>
        <v>6182</v>
      </c>
      <c r="G105" s="98">
        <f>G100+G124+G93</f>
        <v>6230</v>
      </c>
    </row>
    <row r="106" spans="2:7">
      <c r="C106" s="101" t="s">
        <v>327</v>
      </c>
      <c r="D106" s="102" t="s">
        <v>216</v>
      </c>
      <c r="E106" s="104">
        <f>E89</f>
        <v>6344</v>
      </c>
      <c r="F106" s="104">
        <f>F89</f>
        <v>6182</v>
      </c>
      <c r="G106" s="105">
        <f>G89</f>
        <v>6230</v>
      </c>
    </row>
    <row r="108" spans="2:7" ht="18">
      <c r="B108" t="s">
        <v>93</v>
      </c>
      <c r="C108" s="95" t="s">
        <v>312</v>
      </c>
      <c r="D108" s="95"/>
      <c r="E108" s="95"/>
      <c r="F108" s="95"/>
      <c r="G108" s="95"/>
    </row>
    <row r="110" spans="2:7">
      <c r="C110" s="82" t="s">
        <v>313</v>
      </c>
    </row>
    <row r="111" spans="2:7">
      <c r="C111" t="s">
        <v>314</v>
      </c>
      <c r="D111" t="s">
        <v>216</v>
      </c>
      <c r="E111" s="69">
        <f>E80</f>
        <v>5514</v>
      </c>
      <c r="F111" s="69">
        <f>F80</f>
        <v>5272</v>
      </c>
      <c r="G111" s="69">
        <f>G80</f>
        <v>5252</v>
      </c>
    </row>
    <row r="112" spans="2:7">
      <c r="C112" t="s">
        <v>315</v>
      </c>
      <c r="D112" t="s">
        <v>4</v>
      </c>
      <c r="E112" s="53">
        <f>E42/(E42+E41)</f>
        <v>2.986857825567503E-2</v>
      </c>
      <c r="F112" s="53">
        <f>F42/(F42+F41)</f>
        <v>2.7677496991576414E-2</v>
      </c>
      <c r="G112" s="53">
        <f>G42/(G42+G41)</f>
        <v>2.9776674937965261E-2</v>
      </c>
    </row>
    <row r="113" spans="2:12">
      <c r="C113" t="s">
        <v>313</v>
      </c>
      <c r="D113" t="s">
        <v>216</v>
      </c>
      <c r="E113" s="96">
        <f>E111*(1+E112)</f>
        <v>5678.695340501793</v>
      </c>
      <c r="F113" s="96">
        <f t="shared" ref="F113:G113" si="24">F111*(1+F112)</f>
        <v>5417.9157641395914</v>
      </c>
      <c r="G113" s="96">
        <f t="shared" si="24"/>
        <v>5408.3870967741941</v>
      </c>
    </row>
    <row r="115" spans="2:12">
      <c r="C115" t="s">
        <v>316</v>
      </c>
      <c r="D115" t="s">
        <v>216</v>
      </c>
      <c r="E115" s="97">
        <f>E86</f>
        <v>3909</v>
      </c>
      <c r="F115" s="97">
        <f>F86</f>
        <v>3480</v>
      </c>
      <c r="G115" s="97">
        <f>G86</f>
        <v>3428</v>
      </c>
    </row>
    <row r="116" spans="2:12">
      <c r="C116" s="5" t="s">
        <v>317</v>
      </c>
      <c r="D116" s="5" t="s">
        <v>216</v>
      </c>
      <c r="E116" s="98">
        <f>E113-E115</f>
        <v>1769.695340501793</v>
      </c>
      <c r="F116" s="98">
        <f t="shared" ref="F116:G116" si="25">F113-F115</f>
        <v>1937.9157641395914</v>
      </c>
      <c r="G116" s="98">
        <f t="shared" si="25"/>
        <v>1980.3870967741941</v>
      </c>
    </row>
    <row r="117" spans="2:12">
      <c r="C117" s="42" t="s">
        <v>341</v>
      </c>
      <c r="D117" s="42" t="s">
        <v>4</v>
      </c>
      <c r="E117" s="42"/>
      <c r="F117" s="45">
        <f>F116/E116-1</f>
        <v>9.5056148811523578E-2</v>
      </c>
      <c r="G117" s="45">
        <f>G116/F116-1</f>
        <v>2.19159849052879E-2</v>
      </c>
      <c r="H117" s="42" t="s">
        <v>303</v>
      </c>
    </row>
    <row r="119" spans="2:12">
      <c r="C119" t="s">
        <v>318</v>
      </c>
      <c r="D119" t="s">
        <v>216</v>
      </c>
      <c r="E119" s="69">
        <f>E87</f>
        <v>1843</v>
      </c>
      <c r="F119" s="69">
        <f>F87</f>
        <v>2015</v>
      </c>
      <c r="G119" s="69">
        <f>G87</f>
        <v>2042</v>
      </c>
    </row>
    <row r="120" spans="2:12">
      <c r="C120" s="5" t="s">
        <v>319</v>
      </c>
      <c r="D120" s="5" t="s">
        <v>216</v>
      </c>
      <c r="E120" s="99">
        <f>E119-E116</f>
        <v>73.304659498207002</v>
      </c>
      <c r="F120" s="99">
        <f>F119-F116</f>
        <v>77.084235860408626</v>
      </c>
      <c r="G120" s="99">
        <f>G119-G116</f>
        <v>61.612903225805894</v>
      </c>
    </row>
    <row r="121" spans="2:12">
      <c r="C121" s="42" t="s">
        <v>341</v>
      </c>
      <c r="D121" s="42" t="s">
        <v>4</v>
      </c>
      <c r="F121" s="45">
        <f>F120/E120-1</f>
        <v>5.1559837915815754E-2</v>
      </c>
      <c r="G121" s="45">
        <f>G120/F120-1</f>
        <v>-0.20070683015681279</v>
      </c>
      <c r="H121" s="42" t="s">
        <v>305</v>
      </c>
    </row>
    <row r="124" spans="2:12">
      <c r="B124" t="s">
        <v>93</v>
      </c>
      <c r="C124" s="5" t="s">
        <v>320</v>
      </c>
      <c r="D124" s="5" t="s">
        <v>216</v>
      </c>
      <c r="E124" s="98">
        <f>E120+E116</f>
        <v>1843</v>
      </c>
      <c r="F124" s="98">
        <f>F120+F116</f>
        <v>2015</v>
      </c>
      <c r="G124" s="98">
        <f>G120+G116</f>
        <v>2042</v>
      </c>
      <c r="L124" t="s">
        <v>93</v>
      </c>
    </row>
  </sheetData>
  <phoneticPr fontId="15" type="noConversion"/>
  <pageMargins left="0.7" right="0.7" top="0.75" bottom="0.75" header="0.3" footer="0.3"/>
  <ignoredErrors>
    <ignoredError sqref="E44:G44" formulaRange="1"/>
  </ignoredErrors>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A72F0-1987-45B1-9F4C-3E28EC8F85C7}">
  <dimension ref="A1:Z32"/>
  <sheetViews>
    <sheetView showGridLines="0" topLeftCell="F1" zoomScale="70" workbookViewId="0">
      <selection activeCell="H6" sqref="H6"/>
    </sheetView>
  </sheetViews>
  <sheetFormatPr defaultRowHeight="14.4"/>
  <cols>
    <col min="1" max="1" width="1.88671875" bestFit="1" customWidth="1"/>
    <col min="2" max="2" width="29.77734375" bestFit="1" customWidth="1"/>
    <col min="11" max="11" width="6" customWidth="1"/>
    <col min="12" max="12" width="2" bestFit="1" customWidth="1"/>
    <col min="16" max="16" width="2" bestFit="1" customWidth="1"/>
    <col min="17" max="17" width="6.33203125" customWidth="1"/>
    <col min="18" max="18" width="16.77734375" bestFit="1" customWidth="1"/>
  </cols>
  <sheetData>
    <row r="1" spans="1:26">
      <c r="B1" s="2" t="str">
        <f>Cover!$B$7&amp; " "&amp;Cover!$B$9</f>
        <v>Victoria’s Secret &amp; Co (NYSE:VSCO)</v>
      </c>
      <c r="C1" s="2"/>
      <c r="D1" s="2"/>
      <c r="E1" s="2"/>
      <c r="F1" s="2"/>
      <c r="G1" s="2"/>
      <c r="H1" s="2"/>
      <c r="I1" s="2"/>
      <c r="J1" s="2"/>
      <c r="L1" s="17" t="s">
        <v>367</v>
      </c>
      <c r="M1" s="2"/>
      <c r="N1" s="2"/>
      <c r="O1" s="2"/>
      <c r="P1" s="2"/>
      <c r="R1" s="17" t="s">
        <v>361</v>
      </c>
      <c r="S1" s="17"/>
      <c r="T1" s="17"/>
      <c r="U1" s="17"/>
      <c r="V1" s="17"/>
      <c r="W1" s="17"/>
      <c r="X1" s="17"/>
      <c r="Y1" s="17"/>
      <c r="Z1" s="17"/>
    </row>
    <row r="2" spans="1:26">
      <c r="B2" s="17" t="s">
        <v>363</v>
      </c>
      <c r="C2" s="2"/>
      <c r="D2" s="2"/>
      <c r="E2" s="2"/>
      <c r="F2" s="2"/>
      <c r="G2" s="2"/>
      <c r="H2" s="2"/>
      <c r="I2" s="2"/>
      <c r="J2" s="2"/>
      <c r="M2" s="2"/>
      <c r="N2" s="2"/>
      <c r="O2" s="2"/>
      <c r="P2" s="2"/>
    </row>
    <row r="3" spans="1:26">
      <c r="L3" s="22" t="s">
        <v>93</v>
      </c>
      <c r="M3" s="23"/>
      <c r="N3" s="23"/>
      <c r="O3" s="23"/>
      <c r="P3" s="24" t="s">
        <v>93</v>
      </c>
    </row>
    <row r="4" spans="1:26">
      <c r="A4" t="str">
        <f>'3FS'!A4</f>
        <v>x</v>
      </c>
      <c r="D4" t="str">
        <f>'3FS'!D4</f>
        <v>2020A</v>
      </c>
      <c r="E4" t="str">
        <f>'3FS'!E4</f>
        <v>2021A</v>
      </c>
      <c r="F4" t="str">
        <f>'3FS'!F4</f>
        <v>2022A</v>
      </c>
      <c r="G4" t="str">
        <f>'3FS'!G4</f>
        <v>2023A</v>
      </c>
      <c r="H4" t="str">
        <f>'3FS'!H4</f>
        <v>2024A</v>
      </c>
      <c r="I4" t="str">
        <f>'3FS'!I4</f>
        <v>2025LTM</v>
      </c>
      <c r="J4" t="s">
        <v>93</v>
      </c>
      <c r="L4" s="25"/>
      <c r="M4" s="58" t="s">
        <v>370</v>
      </c>
      <c r="N4" s="58"/>
      <c r="O4" s="58"/>
      <c r="P4" s="4"/>
      <c r="R4" s="3"/>
      <c r="S4" s="3"/>
      <c r="T4" s="3" t="s">
        <v>206</v>
      </c>
      <c r="U4" s="3" t="s">
        <v>9</v>
      </c>
      <c r="V4" s="40" t="s">
        <v>339</v>
      </c>
      <c r="W4" s="3" t="s">
        <v>10</v>
      </c>
      <c r="X4" s="3" t="s">
        <v>11</v>
      </c>
      <c r="Y4" s="3" t="s">
        <v>12</v>
      </c>
      <c r="Z4" s="3" t="s">
        <v>13</v>
      </c>
    </row>
    <row r="5" spans="1:26">
      <c r="B5" t="str">
        <f>'3FS'!B5</f>
        <v>Revenue</v>
      </c>
      <c r="C5" t="s">
        <v>216</v>
      </c>
      <c r="D5">
        <f>'3FS'!D5</f>
        <v>5413</v>
      </c>
      <c r="E5">
        <f>'3FS'!E5</f>
        <v>6785</v>
      </c>
      <c r="F5">
        <f>'3FS'!F5</f>
        <v>6344</v>
      </c>
      <c r="G5">
        <f>'3FS'!G5</f>
        <v>6182</v>
      </c>
      <c r="H5">
        <f>'3FS'!H5</f>
        <v>6230</v>
      </c>
      <c r="I5">
        <f>'3FS'!I5</f>
        <v>6390</v>
      </c>
      <c r="L5" s="25"/>
      <c r="M5" t="s">
        <v>368</v>
      </c>
      <c r="N5" t="str">
        <f>E4</f>
        <v>2021A</v>
      </c>
      <c r="O5" s="271">
        <f>E16</f>
        <v>0.12822402358142962</v>
      </c>
      <c r="P5" s="4"/>
      <c r="R5" t="s">
        <v>21</v>
      </c>
      <c r="S5" t="s">
        <v>216</v>
      </c>
      <c r="T5" s="52">
        <f>'Revenue Build'!AB26</f>
        <v>6182</v>
      </c>
      <c r="U5" s="52">
        <f>'Revenue Build'!AC26</f>
        <v>6230</v>
      </c>
      <c r="V5" s="108">
        <f>'Revenue Build'!AD26</f>
        <v>6470.6153863388827</v>
      </c>
      <c r="W5" s="52">
        <f>'Revenue Build'!AE26</f>
        <v>6794.2685566361815</v>
      </c>
      <c r="X5" s="52">
        <f>'Revenue Build'!AF26</f>
        <v>7085.593976660427</v>
      </c>
      <c r="Y5" s="52">
        <f>'Revenue Build'!AG26</f>
        <v>7350.1415469002241</v>
      </c>
      <c r="Z5" s="52">
        <f>'Revenue Build'!AH26</f>
        <v>7596.9619099366373</v>
      </c>
    </row>
    <row r="6" spans="1:26">
      <c r="B6" t="str">
        <f>'3FS'!B9</f>
        <v>Cost Of Goods Sold</v>
      </c>
      <c r="C6" t="s">
        <v>216</v>
      </c>
      <c r="D6">
        <f>'3FS'!D9</f>
        <v>3613</v>
      </c>
      <c r="E6">
        <f>'3FS'!E9</f>
        <v>4025</v>
      </c>
      <c r="F6">
        <f>'3FS'!F9</f>
        <v>4072</v>
      </c>
      <c r="G6">
        <f>'3FS'!G9</f>
        <v>3908</v>
      </c>
      <c r="H6">
        <f>'3FS'!H9</f>
        <v>3946</v>
      </c>
      <c r="I6">
        <f>'3FS'!I9</f>
        <v>4045</v>
      </c>
      <c r="L6" s="25"/>
      <c r="M6" t="s">
        <v>369</v>
      </c>
      <c r="N6" t="str">
        <f>D4</f>
        <v>2020A</v>
      </c>
      <c r="O6" s="271">
        <f>D16</f>
        <v>2.8265287271383707E-2</v>
      </c>
      <c r="P6" s="4"/>
      <c r="R6" s="42" t="s">
        <v>388</v>
      </c>
      <c r="S6" t="s">
        <v>4</v>
      </c>
      <c r="T6" s="276">
        <f>G16</f>
        <v>4.8851504367518603E-2</v>
      </c>
      <c r="U6" s="276">
        <f>H16</f>
        <v>5.248796147672552E-2</v>
      </c>
      <c r="V6" s="277">
        <f>'Scenarios '!G43</f>
        <v>6.8086119270276524E-2</v>
      </c>
      <c r="W6" s="278">
        <f>'Scenarios '!H43</f>
        <v>8.3120595348064805E-2</v>
      </c>
      <c r="X6" s="278">
        <f>'Scenarios '!I43</f>
        <v>9.8155071425853072E-2</v>
      </c>
      <c r="Y6" s="278">
        <f>'Scenarios '!J43</f>
        <v>0.11318954750364135</v>
      </c>
      <c r="Z6" s="278">
        <f>'Scenarios '!K43</f>
        <v>0.12822402358142962</v>
      </c>
    </row>
    <row r="7" spans="1:26">
      <c r="B7" s="42" t="s">
        <v>362</v>
      </c>
      <c r="C7" t="s">
        <v>4</v>
      </c>
      <c r="D7" s="44">
        <f t="shared" ref="D7:I7" si="0">D6/D5</f>
        <v>0.66746720857195641</v>
      </c>
      <c r="E7" s="44">
        <f t="shared" si="0"/>
        <v>0.59322033898305082</v>
      </c>
      <c r="F7" s="44">
        <f t="shared" si="0"/>
        <v>0.64186633039092056</v>
      </c>
      <c r="G7" s="44">
        <f t="shared" si="0"/>
        <v>0.63215787770947918</v>
      </c>
      <c r="H7" s="44">
        <f t="shared" si="0"/>
        <v>0.63338683788121986</v>
      </c>
      <c r="I7" s="44">
        <f t="shared" si="0"/>
        <v>0.63302034428794995</v>
      </c>
      <c r="L7" s="25"/>
      <c r="M7" t="s">
        <v>371</v>
      </c>
      <c r="O7" s="272">
        <f>SUM(D16:I16)/6</f>
        <v>6.5684777842036524E-2</v>
      </c>
      <c r="P7" s="4"/>
      <c r="R7" s="5" t="s">
        <v>387</v>
      </c>
      <c r="S7" s="5" t="s">
        <v>216</v>
      </c>
      <c r="T7" s="264">
        <f>G15</f>
        <v>302</v>
      </c>
      <c r="U7" s="264">
        <f>H15</f>
        <v>327</v>
      </c>
      <c r="V7" s="275">
        <f>V5*V6</f>
        <v>440.55909094635558</v>
      </c>
      <c r="W7" s="264">
        <f t="shared" ref="W7:Z7" si="1">W5*W6</f>
        <v>564.74364738223642</v>
      </c>
      <c r="X7" s="264">
        <f t="shared" si="1"/>
        <v>695.48698287369848</v>
      </c>
      <c r="Y7" s="264">
        <f t="shared" si="1"/>
        <v>831.9591957813509</v>
      </c>
      <c r="Z7" s="264">
        <f t="shared" si="1"/>
        <v>974.11302308693803</v>
      </c>
    </row>
    <row r="8" spans="1:26">
      <c r="B8" t="str">
        <f>'3FS'!B10</f>
        <v xml:space="preserve">  Gross Profit</v>
      </c>
      <c r="C8" t="s">
        <v>216</v>
      </c>
      <c r="D8">
        <f>'3FS'!D10</f>
        <v>1800</v>
      </c>
      <c r="E8">
        <f>'3FS'!E10</f>
        <v>2760</v>
      </c>
      <c r="F8">
        <f>'3FS'!F10</f>
        <v>2272</v>
      </c>
      <c r="G8">
        <f>'3FS'!G10</f>
        <v>2274</v>
      </c>
      <c r="H8">
        <f>'3FS'!H10</f>
        <v>2284</v>
      </c>
      <c r="I8">
        <f>'3FS'!I10</f>
        <v>2345</v>
      </c>
      <c r="L8" s="25"/>
      <c r="M8" t="s">
        <v>372</v>
      </c>
      <c r="O8" s="273">
        <f>SUM(G16:I16)/3</f>
        <v>5.1463703012244129E-2</v>
      </c>
      <c r="P8" s="4"/>
    </row>
    <row r="9" spans="1:26">
      <c r="B9" s="42" t="s">
        <v>362</v>
      </c>
      <c r="C9" t="s">
        <v>4</v>
      </c>
      <c r="D9" s="45">
        <f t="shared" ref="D9:I9" si="2">D8/D5</f>
        <v>0.33253279142804359</v>
      </c>
      <c r="E9" s="45">
        <f t="shared" si="2"/>
        <v>0.40677966101694918</v>
      </c>
      <c r="F9" s="45">
        <f t="shared" si="2"/>
        <v>0.35813366960907944</v>
      </c>
      <c r="G9" s="45">
        <f t="shared" si="2"/>
        <v>0.36784212229052088</v>
      </c>
      <c r="H9" s="45">
        <f t="shared" si="2"/>
        <v>0.36661316211878009</v>
      </c>
      <c r="I9" s="45">
        <f t="shared" si="2"/>
        <v>0.3669796557120501</v>
      </c>
      <c r="L9" s="25"/>
      <c r="M9" t="s">
        <v>383</v>
      </c>
      <c r="O9" s="272">
        <f>F16</f>
        <v>8.3228247162673394E-2</v>
      </c>
      <c r="P9" s="4"/>
    </row>
    <row r="10" spans="1:26">
      <c r="B10" t="str">
        <f>'3FS'!B12</f>
        <v>Selling General &amp; Admin Exp.</v>
      </c>
      <c r="C10" t="s">
        <v>216</v>
      </c>
      <c r="D10">
        <f>'3FS'!D12</f>
        <v>1647</v>
      </c>
      <c r="E10">
        <f>'3FS'!E12</f>
        <v>1890</v>
      </c>
      <c r="F10">
        <f>'3FS'!F12</f>
        <v>1744</v>
      </c>
      <c r="G10">
        <f>'3FS'!G12</f>
        <v>1947</v>
      </c>
      <c r="H10">
        <f>'3FS'!H12</f>
        <v>1932</v>
      </c>
      <c r="I10">
        <f>'3FS'!I12</f>
        <v>1981</v>
      </c>
      <c r="L10" s="40" t="s">
        <v>93</v>
      </c>
      <c r="M10" s="3"/>
      <c r="N10" s="3"/>
      <c r="O10" s="3"/>
      <c r="P10" s="47" t="s">
        <v>93</v>
      </c>
    </row>
    <row r="11" spans="1:26">
      <c r="B11" s="42" t="s">
        <v>362</v>
      </c>
      <c r="C11" t="s">
        <v>4</v>
      </c>
      <c r="D11" s="45">
        <f t="shared" ref="D11:I11" si="3">D10/D5</f>
        <v>0.30426750415665987</v>
      </c>
      <c r="E11" s="45">
        <f t="shared" si="3"/>
        <v>0.27855563743551953</v>
      </c>
      <c r="F11" s="45">
        <f t="shared" si="3"/>
        <v>0.27490542244640603</v>
      </c>
      <c r="G11" s="45">
        <f t="shared" si="3"/>
        <v>0.31494661921708184</v>
      </c>
      <c r="H11" s="45">
        <f t="shared" si="3"/>
        <v>0.31011235955056182</v>
      </c>
      <c r="I11" s="45">
        <f t="shared" si="3"/>
        <v>0.31001564945226917</v>
      </c>
    </row>
    <row r="12" spans="1:26">
      <c r="B12" t="str">
        <f>'3FS'!B15</f>
        <v>Amort. of Goodwill and Intangibles</v>
      </c>
      <c r="C12" t="s">
        <v>216</v>
      </c>
      <c r="D12" s="3" t="str">
        <f>'3FS'!D15</f>
        <v>-</v>
      </c>
      <c r="E12" s="3" t="str">
        <f>'3FS'!E15</f>
        <v>-</v>
      </c>
      <c r="F12" s="3" t="str">
        <f>'3FS'!F15</f>
        <v>-</v>
      </c>
      <c r="G12" s="3">
        <f>'3FS'!G15</f>
        <v>25</v>
      </c>
      <c r="H12" s="3">
        <f>'3FS'!H15</f>
        <v>25</v>
      </c>
      <c r="I12" s="3">
        <f>'3FS'!I15</f>
        <v>25</v>
      </c>
    </row>
    <row r="13" spans="1:26">
      <c r="B13" t="str">
        <f>'3FS'!B18</f>
        <v xml:space="preserve">  Other Operating Exp., Total</v>
      </c>
      <c r="C13" t="s">
        <v>216</v>
      </c>
      <c r="D13">
        <f>'3FS'!D18</f>
        <v>1647</v>
      </c>
      <c r="E13">
        <f>'3FS'!E18</f>
        <v>1890</v>
      </c>
      <c r="F13">
        <f>'3FS'!F18</f>
        <v>1744</v>
      </c>
      <c r="G13">
        <f>'3FS'!G18</f>
        <v>1972</v>
      </c>
      <c r="H13">
        <f>'3FS'!H18</f>
        <v>1957</v>
      </c>
      <c r="I13">
        <f>'3FS'!I18</f>
        <v>2006</v>
      </c>
    </row>
    <row r="15" spans="1:26">
      <c r="A15" t="s">
        <v>93</v>
      </c>
      <c r="B15" s="5" t="str">
        <f>'3FS'!B20</f>
        <v xml:space="preserve">  Operating Income</v>
      </c>
      <c r="C15" s="5" t="s">
        <v>216</v>
      </c>
      <c r="D15" s="5">
        <f>'3FS'!D20</f>
        <v>153</v>
      </c>
      <c r="E15" s="5">
        <f>'3FS'!E20</f>
        <v>870</v>
      </c>
      <c r="F15" s="5">
        <f>'3FS'!F20</f>
        <v>528</v>
      </c>
      <c r="G15" s="5">
        <f>'3FS'!G20</f>
        <v>302</v>
      </c>
      <c r="H15" s="5">
        <f>'3FS'!H20</f>
        <v>327</v>
      </c>
      <c r="I15" s="5">
        <f>'3FS'!I20</f>
        <v>339</v>
      </c>
    </row>
    <row r="16" spans="1:26">
      <c r="B16" s="42" t="s">
        <v>362</v>
      </c>
      <c r="C16" t="s">
        <v>4</v>
      </c>
      <c r="D16" s="45">
        <f t="shared" ref="D16:I16" si="4">D15/D5</f>
        <v>2.8265287271383707E-2</v>
      </c>
      <c r="E16" s="45">
        <f t="shared" si="4"/>
        <v>0.12822402358142962</v>
      </c>
      <c r="F16" s="45">
        <f t="shared" si="4"/>
        <v>8.3228247162673394E-2</v>
      </c>
      <c r="G16" s="45">
        <f t="shared" si="4"/>
        <v>4.8851504367518603E-2</v>
      </c>
      <c r="H16" s="45">
        <f t="shared" si="4"/>
        <v>5.248796147672552E-2</v>
      </c>
      <c r="I16" s="45">
        <f t="shared" si="4"/>
        <v>5.3051643192488264E-2</v>
      </c>
    </row>
    <row r="18" spans="1:12">
      <c r="B18" s="5" t="str">
        <f>'3FS'!B189</f>
        <v>Depreciation &amp; Amort.</v>
      </c>
      <c r="C18" s="5" t="s">
        <v>216</v>
      </c>
      <c r="D18" s="5">
        <f>'3FS'!D189</f>
        <v>326</v>
      </c>
      <c r="E18" s="5">
        <f>'3FS'!E189</f>
        <v>303</v>
      </c>
      <c r="F18" s="5">
        <f>'3FS'!F189</f>
        <v>274</v>
      </c>
      <c r="G18" s="5">
        <f>'3FS'!G189</f>
        <v>259</v>
      </c>
      <c r="H18" s="5">
        <f>'3FS'!H189</f>
        <v>233</v>
      </c>
      <c r="I18" s="5">
        <f>'3FS'!I189</f>
        <v>226</v>
      </c>
    </row>
    <row r="19" spans="1:12">
      <c r="B19" s="42" t="s">
        <v>362</v>
      </c>
      <c r="C19" t="s">
        <v>4</v>
      </c>
      <c r="D19" s="45">
        <f t="shared" ref="D19:I19" si="5">D18/D5</f>
        <v>6.0225383336412343E-2</v>
      </c>
      <c r="E19" s="45">
        <f t="shared" si="5"/>
        <v>4.4657332350773765E-2</v>
      </c>
      <c r="F19" s="45">
        <f t="shared" si="5"/>
        <v>4.319041614123581E-2</v>
      </c>
      <c r="G19" s="45">
        <f t="shared" si="5"/>
        <v>4.1895826593335489E-2</v>
      </c>
      <c r="H19" s="45">
        <f t="shared" si="5"/>
        <v>3.739967897271268E-2</v>
      </c>
      <c r="I19" s="45">
        <f t="shared" si="5"/>
        <v>3.5367762128325507E-2</v>
      </c>
    </row>
    <row r="21" spans="1:12">
      <c r="B21" s="5" t="str">
        <f>'3FS'!B206</f>
        <v>Capital Expenditure</v>
      </c>
      <c r="C21" s="5" t="s">
        <v>216</v>
      </c>
      <c r="D21" s="5">
        <f>'3FS'!D206</f>
        <v>-127</v>
      </c>
      <c r="E21" s="5">
        <f>'3FS'!E206</f>
        <v>-169</v>
      </c>
      <c r="F21" s="5">
        <f>'3FS'!F206</f>
        <v>-164</v>
      </c>
      <c r="G21" s="5">
        <f>'3FS'!G206</f>
        <v>-256</v>
      </c>
      <c r="H21" s="5">
        <f>'3FS'!H206</f>
        <v>-178</v>
      </c>
      <c r="I21" s="5">
        <f>'3FS'!I206</f>
        <v>-191</v>
      </c>
    </row>
    <row r="22" spans="1:12">
      <c r="B22" s="42" t="s">
        <v>362</v>
      </c>
      <c r="C22" t="s">
        <v>4</v>
      </c>
      <c r="D22" s="45">
        <f t="shared" ref="D22:I22" si="6">0-D21/D5</f>
        <v>2.3462035839645297E-2</v>
      </c>
      <c r="E22" s="45">
        <f t="shared" si="6"/>
        <v>2.4907885040530583E-2</v>
      </c>
      <c r="F22" s="45">
        <f t="shared" si="6"/>
        <v>2.5851197982345524E-2</v>
      </c>
      <c r="G22" s="45">
        <f t="shared" si="6"/>
        <v>4.1410546748625043E-2</v>
      </c>
      <c r="H22" s="45">
        <f t="shared" si="6"/>
        <v>2.8571428571428571E-2</v>
      </c>
      <c r="I22" s="45">
        <f t="shared" si="6"/>
        <v>2.9890453834115805E-2</v>
      </c>
    </row>
    <row r="24" spans="1:12">
      <c r="A24" t="s">
        <v>93</v>
      </c>
      <c r="B24" s="5" t="s">
        <v>366</v>
      </c>
    </row>
    <row r="26" spans="1:12">
      <c r="B26" t="str">
        <f>'3FS'!B199</f>
        <v>Change in Acc. Receivable</v>
      </c>
      <c r="C26" t="s">
        <v>216</v>
      </c>
      <c r="D26">
        <f>'3FS'!D199</f>
        <v>36</v>
      </c>
      <c r="E26">
        <f>'3FS'!E199</f>
        <v>-21</v>
      </c>
      <c r="F26">
        <f>'3FS'!F199</f>
        <v>22</v>
      </c>
      <c r="G26">
        <f>'3FS'!G199</f>
        <v>-13</v>
      </c>
      <c r="H26">
        <f>'3FS'!H199</f>
        <v>-8</v>
      </c>
      <c r="I26">
        <f>'3FS'!I199</f>
        <v>-26</v>
      </c>
    </row>
    <row r="27" spans="1:12">
      <c r="B27" t="str">
        <f>'3FS'!B200</f>
        <v>Change In Inventories</v>
      </c>
      <c r="C27" t="s">
        <v>216</v>
      </c>
      <c r="D27">
        <f>'3FS'!D200</f>
        <v>141</v>
      </c>
      <c r="E27">
        <f>'3FS'!E200</f>
        <v>-247</v>
      </c>
      <c r="F27">
        <f>'3FS'!F200</f>
        <v>0</v>
      </c>
      <c r="G27">
        <f>'3FS'!G200</f>
        <v>36</v>
      </c>
      <c r="H27">
        <f>'3FS'!H200</f>
        <v>29</v>
      </c>
      <c r="I27">
        <f>'3FS'!I200</f>
        <v>-86</v>
      </c>
      <c r="L27" s="42"/>
    </row>
    <row r="28" spans="1:12">
      <c r="B28" t="str">
        <f>'3FS'!B201</f>
        <v>Change in Acc. Payable</v>
      </c>
      <c r="C28" t="s">
        <v>216</v>
      </c>
      <c r="D28">
        <f>'3FS'!D201</f>
        <v>49</v>
      </c>
      <c r="E28">
        <f>'3FS'!E201</f>
        <v>173</v>
      </c>
      <c r="F28">
        <f>'3FS'!F201</f>
        <v>-163</v>
      </c>
      <c r="G28">
        <f>'3FS'!G201</f>
        <v>-11</v>
      </c>
      <c r="H28">
        <f>'3FS'!H201</f>
        <v>-78</v>
      </c>
      <c r="I28">
        <f>'3FS'!I201</f>
        <v>109</v>
      </c>
    </row>
    <row r="30" spans="1:12">
      <c r="B30" s="5" t="s">
        <v>200</v>
      </c>
      <c r="C30" s="5" t="s">
        <v>216</v>
      </c>
      <c r="D30" s="5">
        <f t="shared" ref="D30:I30" si="7">SUM(D26:D28)</f>
        <v>226</v>
      </c>
      <c r="E30" s="5">
        <f t="shared" si="7"/>
        <v>-95</v>
      </c>
      <c r="F30" s="5">
        <f t="shared" si="7"/>
        <v>-141</v>
      </c>
      <c r="G30" s="5">
        <f t="shared" si="7"/>
        <v>12</v>
      </c>
      <c r="H30" s="5">
        <f t="shared" si="7"/>
        <v>-57</v>
      </c>
      <c r="I30" s="5">
        <f t="shared" si="7"/>
        <v>-3</v>
      </c>
    </row>
    <row r="32" spans="1:12">
      <c r="A32" t="s">
        <v>93</v>
      </c>
      <c r="J32" t="s">
        <v>93</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16F89-30DF-4F70-B2CD-6B7E515921DA}">
  <dimension ref="A1:AA35"/>
  <sheetViews>
    <sheetView showGridLines="0" zoomScale="85" zoomScaleNormal="85" workbookViewId="0">
      <selection activeCell="T6" sqref="T6"/>
    </sheetView>
  </sheetViews>
  <sheetFormatPr defaultRowHeight="14.4"/>
  <cols>
    <col min="1" max="1" width="1.88671875" bestFit="1" customWidth="1"/>
    <col min="2" max="2" width="29.77734375" bestFit="1" customWidth="1"/>
    <col min="11" max="11" width="1.88671875" bestFit="1" customWidth="1"/>
    <col min="12" max="12" width="10.44140625" customWidth="1"/>
    <col min="13" max="13" width="9.21875" customWidth="1"/>
    <col min="15" max="15" width="20.88671875" bestFit="1" customWidth="1"/>
    <col min="18" max="18" width="24.109375" bestFit="1" customWidth="1"/>
  </cols>
  <sheetData>
    <row r="1" spans="1:27">
      <c r="B1" s="2" t="str">
        <f>Cover!$B$7&amp; " "&amp;Cover!$B$9</f>
        <v>Victoria’s Secret &amp; Co (NYSE:VSCO)</v>
      </c>
      <c r="C1" s="2"/>
      <c r="D1" s="2"/>
      <c r="E1" s="2"/>
      <c r="F1" s="2"/>
      <c r="G1" s="2"/>
      <c r="H1" s="2"/>
      <c r="I1" s="2"/>
      <c r="J1" s="2"/>
      <c r="K1" t="s">
        <v>93</v>
      </c>
      <c r="L1" s="17" t="s">
        <v>393</v>
      </c>
      <c r="M1" s="17"/>
      <c r="N1" s="17"/>
      <c r="O1" s="17"/>
      <c r="P1" s="17"/>
      <c r="R1" s="17" t="s">
        <v>394</v>
      </c>
      <c r="S1" s="17"/>
      <c r="T1" s="17"/>
      <c r="U1" s="17"/>
      <c r="V1" s="17"/>
      <c r="W1" s="17"/>
      <c r="X1" s="17"/>
      <c r="Y1" s="17"/>
      <c r="Z1" s="17"/>
      <c r="AA1" t="s">
        <v>93</v>
      </c>
    </row>
    <row r="2" spans="1:27">
      <c r="B2" s="17" t="s">
        <v>363</v>
      </c>
      <c r="C2" s="2"/>
      <c r="D2" s="2"/>
      <c r="E2" s="2"/>
      <c r="F2" s="2"/>
      <c r="G2" s="2"/>
      <c r="H2" s="2"/>
      <c r="I2" s="2"/>
      <c r="J2" s="2"/>
    </row>
    <row r="3" spans="1:27">
      <c r="S3" s="3"/>
      <c r="T3" s="3" t="s">
        <v>206</v>
      </c>
      <c r="U3" s="3" t="s">
        <v>9</v>
      </c>
      <c r="V3" s="40" t="s">
        <v>339</v>
      </c>
      <c r="W3" s="3" t="s">
        <v>10</v>
      </c>
      <c r="X3" s="3" t="s">
        <v>11</v>
      </c>
      <c r="Y3" s="3" t="s">
        <v>12</v>
      </c>
      <c r="Z3" s="3" t="s">
        <v>13</v>
      </c>
    </row>
    <row r="4" spans="1:27">
      <c r="A4" t="str">
        <f>'3FS'!A4</f>
        <v>x</v>
      </c>
      <c r="D4" t="str">
        <f>'3FS'!D4</f>
        <v>2020A</v>
      </c>
      <c r="E4" t="str">
        <f>'3FS'!E4</f>
        <v>2021A</v>
      </c>
      <c r="F4" t="str">
        <f>'3FS'!F4</f>
        <v>2022A</v>
      </c>
      <c r="G4" t="str">
        <f>'3FS'!G4</f>
        <v>2023A</v>
      </c>
      <c r="H4" t="str">
        <f>'3FS'!H4</f>
        <v>2024A</v>
      </c>
      <c r="I4" t="str">
        <f>'3FS'!I4</f>
        <v>2025LTM</v>
      </c>
      <c r="L4" s="46" t="s">
        <v>343</v>
      </c>
      <c r="M4" s="46"/>
      <c r="N4" s="2"/>
      <c r="O4" s="46" t="s">
        <v>392</v>
      </c>
      <c r="P4" s="46"/>
      <c r="R4" t="str">
        <f>'EBIT Build'!R7</f>
        <v>Operating Income</v>
      </c>
      <c r="S4" t="str">
        <f>'EBIT Build'!S7</f>
        <v>($MM)</v>
      </c>
      <c r="T4" s="69">
        <f>'EBIT Build'!T7</f>
        <v>302</v>
      </c>
      <c r="U4" s="96">
        <f>'EBIT Build'!U7</f>
        <v>327</v>
      </c>
      <c r="V4" s="279">
        <f>'EBIT Build'!V7</f>
        <v>440.55909094635558</v>
      </c>
      <c r="W4" s="69">
        <f>'EBIT Build'!W7</f>
        <v>564.74364738223642</v>
      </c>
      <c r="X4" s="69">
        <f>'EBIT Build'!X7</f>
        <v>695.48698287369848</v>
      </c>
      <c r="Y4" s="69">
        <f>'EBIT Build'!Y7</f>
        <v>831.9591957813509</v>
      </c>
      <c r="Z4" s="69">
        <f>'EBIT Build'!Z7</f>
        <v>974.11302308693803</v>
      </c>
    </row>
    <row r="5" spans="1:27">
      <c r="B5" s="22" t="s">
        <v>21</v>
      </c>
      <c r="C5" s="23" t="s">
        <v>216</v>
      </c>
      <c r="D5" s="23">
        <f>'3FS'!D5</f>
        <v>5413</v>
      </c>
      <c r="E5" s="23">
        <f>'3FS'!E5</f>
        <v>6785</v>
      </c>
      <c r="F5" s="23">
        <f>'3FS'!F5</f>
        <v>6344</v>
      </c>
      <c r="G5" s="23">
        <f>'3FS'!G5</f>
        <v>6182</v>
      </c>
      <c r="H5" s="23">
        <f>'3FS'!H5</f>
        <v>6230</v>
      </c>
      <c r="I5" s="24">
        <f>'3FS'!I5</f>
        <v>6390</v>
      </c>
      <c r="L5" s="2" t="s">
        <v>397</v>
      </c>
      <c r="M5" s="2"/>
      <c r="N5" s="2"/>
      <c r="O5" s="268">
        <f>SUM(F9:H9)/3</f>
        <v>0.23836498989530766</v>
      </c>
      <c r="P5" s="2"/>
      <c r="R5" s="42" t="s">
        <v>395</v>
      </c>
      <c r="S5" t="s">
        <v>4</v>
      </c>
      <c r="T5" s="276">
        <f>G9</f>
        <v>0.24503311258278146</v>
      </c>
      <c r="U5" s="276">
        <f>H9</f>
        <v>0.16513761467889909</v>
      </c>
      <c r="V5" s="280">
        <f>$O$5</f>
        <v>0.23836498989530766</v>
      </c>
      <c r="W5" s="276">
        <f>$O$5</f>
        <v>0.23836498989530766</v>
      </c>
      <c r="X5" s="276">
        <f>$O$5</f>
        <v>0.23836498989530766</v>
      </c>
      <c r="Y5" s="276">
        <f>$O$5</f>
        <v>0.23836498989530766</v>
      </c>
      <c r="Z5" s="276">
        <f>$O$5</f>
        <v>0.23836498989530766</v>
      </c>
    </row>
    <row r="6" spans="1:27">
      <c r="B6" s="40" t="s">
        <v>67</v>
      </c>
      <c r="C6" s="3" t="s">
        <v>216</v>
      </c>
      <c r="D6" s="3">
        <f>'3FS'!D20</f>
        <v>153</v>
      </c>
      <c r="E6" s="3">
        <f>'3FS'!E20</f>
        <v>870</v>
      </c>
      <c r="F6" s="3">
        <f>'3FS'!F20</f>
        <v>528</v>
      </c>
      <c r="G6" s="3">
        <f>'3FS'!G20</f>
        <v>302</v>
      </c>
      <c r="H6" s="3">
        <f>'3FS'!H20</f>
        <v>327</v>
      </c>
      <c r="I6" s="47">
        <f>'3FS'!I20</f>
        <v>339</v>
      </c>
      <c r="R6" s="5" t="s">
        <v>396</v>
      </c>
      <c r="S6" s="5" t="s">
        <v>216</v>
      </c>
      <c r="T6" s="98">
        <f>T4*T5</f>
        <v>74</v>
      </c>
      <c r="U6" s="98">
        <f t="shared" ref="U6:Z6" si="0">U4*U5</f>
        <v>54</v>
      </c>
      <c r="V6" s="208">
        <f t="shared" si="0"/>
        <v>105.01386326171398</v>
      </c>
      <c r="W6" s="98">
        <f t="shared" si="0"/>
        <v>134.61511380170597</v>
      </c>
      <c r="X6" s="98">
        <f t="shared" si="0"/>
        <v>165.77974764500715</v>
      </c>
      <c r="Y6" s="98">
        <f t="shared" si="0"/>
        <v>198.30994529572999</v>
      </c>
      <c r="Z6" s="98">
        <f t="shared" si="0"/>
        <v>232.19444090500559</v>
      </c>
    </row>
    <row r="8" spans="1:27">
      <c r="A8" t="s">
        <v>93</v>
      </c>
      <c r="B8" t="s">
        <v>197</v>
      </c>
      <c r="C8" t="s">
        <v>216</v>
      </c>
      <c r="D8" t="str">
        <f>'Assumptions and Inputs'!O6</f>
        <v>NA</v>
      </c>
      <c r="E8" t="str">
        <f>'Assumptions and Inputs'!P6</f>
        <v xml:space="preserve">NA </v>
      </c>
      <c r="F8">
        <f>'Assumptions and Inputs'!Q6</f>
        <v>161</v>
      </c>
      <c r="G8">
        <f>'Assumptions and Inputs'!R6</f>
        <v>74</v>
      </c>
      <c r="H8">
        <f>'Assumptions and Inputs'!S6</f>
        <v>54</v>
      </c>
      <c r="I8">
        <f>'Assumptions and Inputs'!T6</f>
        <v>61</v>
      </c>
    </row>
    <row r="9" spans="1:27">
      <c r="B9" t="s">
        <v>392</v>
      </c>
      <c r="D9" s="267">
        <f>IFERROR(D8/D6,0)</f>
        <v>0</v>
      </c>
      <c r="E9" s="267">
        <f t="shared" ref="E9:I9" si="1">IFERROR(E8/E6,0)</f>
        <v>0</v>
      </c>
      <c r="F9" s="267">
        <f t="shared" si="1"/>
        <v>0.30492424242424243</v>
      </c>
      <c r="G9" s="267">
        <f t="shared" si="1"/>
        <v>0.24503311258278146</v>
      </c>
      <c r="H9" s="267">
        <f t="shared" si="1"/>
        <v>0.16513761467889909</v>
      </c>
      <c r="I9" s="267">
        <f t="shared" si="1"/>
        <v>0.17994100294985252</v>
      </c>
    </row>
    <row r="11" spans="1:27">
      <c r="A11" t="s">
        <v>93</v>
      </c>
      <c r="B11" s="5" t="str">
        <f>'3FS'!B189</f>
        <v>Depreciation &amp; Amort.</v>
      </c>
      <c r="C11" s="5" t="s">
        <v>216</v>
      </c>
      <c r="D11" s="5">
        <f>'3FS'!D189</f>
        <v>326</v>
      </c>
      <c r="E11" s="5">
        <f>'3FS'!E189</f>
        <v>303</v>
      </c>
      <c r="F11" s="5">
        <f>'3FS'!F189</f>
        <v>274</v>
      </c>
      <c r="G11" s="5">
        <f>'3FS'!G189</f>
        <v>259</v>
      </c>
      <c r="H11" s="5">
        <f>'3FS'!H189</f>
        <v>233</v>
      </c>
      <c r="I11" s="5">
        <f>'3FS'!I189</f>
        <v>226</v>
      </c>
      <c r="K11" t="s">
        <v>93</v>
      </c>
      <c r="L11" s="17" t="s">
        <v>398</v>
      </c>
      <c r="M11" s="17"/>
      <c r="N11" s="17"/>
      <c r="O11" s="17"/>
      <c r="P11" s="17"/>
      <c r="R11" s="17" t="s">
        <v>401</v>
      </c>
      <c r="S11" s="17"/>
      <c r="T11" s="17"/>
      <c r="U11" s="17"/>
      <c r="V11" s="17"/>
      <c r="W11" s="17"/>
      <c r="X11" s="17"/>
      <c r="Y11" s="17"/>
      <c r="Z11" s="17"/>
    </row>
    <row r="12" spans="1:27">
      <c r="B12" s="42" t="s">
        <v>362</v>
      </c>
      <c r="C12" t="s">
        <v>4</v>
      </c>
      <c r="D12" s="45">
        <f t="shared" ref="D12:I12" si="2">D11/D5</f>
        <v>6.0225383336412343E-2</v>
      </c>
      <c r="E12" s="45">
        <f t="shared" si="2"/>
        <v>4.4657332350773765E-2</v>
      </c>
      <c r="F12" s="45">
        <f t="shared" si="2"/>
        <v>4.319041614123581E-2</v>
      </c>
      <c r="G12" s="45">
        <f t="shared" si="2"/>
        <v>4.1895826593335489E-2</v>
      </c>
      <c r="H12" s="45">
        <f t="shared" si="2"/>
        <v>3.739967897271268E-2</v>
      </c>
      <c r="I12" s="45">
        <f t="shared" si="2"/>
        <v>3.5367762128325507E-2</v>
      </c>
      <c r="S12" s="3"/>
      <c r="T12" s="3" t="s">
        <v>206</v>
      </c>
      <c r="U12" s="3" t="s">
        <v>9</v>
      </c>
      <c r="V12" s="40" t="s">
        <v>339</v>
      </c>
      <c r="W12" s="3" t="s">
        <v>10</v>
      </c>
      <c r="X12" s="3" t="s">
        <v>11</v>
      </c>
      <c r="Y12" s="3" t="s">
        <v>12</v>
      </c>
      <c r="Z12" s="3" t="s">
        <v>13</v>
      </c>
    </row>
    <row r="13" spans="1:27">
      <c r="L13" s="46" t="s">
        <v>343</v>
      </c>
      <c r="M13" s="46"/>
      <c r="N13" s="2"/>
      <c r="O13" s="46" t="s">
        <v>400</v>
      </c>
      <c r="P13" s="46"/>
      <c r="R13" s="52" t="str">
        <f>'Revenue Build'!Z26</f>
        <v>Total Revenue</v>
      </c>
      <c r="S13" s="52" t="str">
        <f>'Revenue Build'!AA26</f>
        <v>($MM)</v>
      </c>
      <c r="T13" s="52">
        <f>'Revenue Build'!AB26</f>
        <v>6182</v>
      </c>
      <c r="U13" s="52">
        <f>'Revenue Build'!AC26</f>
        <v>6230</v>
      </c>
      <c r="V13" s="55">
        <f>'Revenue Build'!AD26</f>
        <v>6470.6153863388827</v>
      </c>
      <c r="W13" s="52">
        <f>'Revenue Build'!AE26</f>
        <v>6794.2685566361815</v>
      </c>
      <c r="X13" s="52">
        <f>'Revenue Build'!AF26</f>
        <v>7085.593976660427</v>
      </c>
      <c r="Y13" s="52">
        <f>'Revenue Build'!AG26</f>
        <v>7350.1415469002241</v>
      </c>
      <c r="Z13" s="52">
        <f>'Revenue Build'!AH26</f>
        <v>7596.9619099366373</v>
      </c>
    </row>
    <row r="14" spans="1:27">
      <c r="K14" s="2"/>
      <c r="L14" s="2" t="s">
        <v>399</v>
      </c>
      <c r="M14" s="2"/>
      <c r="N14" s="2"/>
      <c r="O14" s="268">
        <f>I12</f>
        <v>3.5367762128325507E-2</v>
      </c>
      <c r="P14" s="2"/>
      <c r="R14" s="5" t="s">
        <v>268</v>
      </c>
      <c r="S14" s="5" t="s">
        <v>216</v>
      </c>
      <c r="T14" s="282">
        <f>G11</f>
        <v>259</v>
      </c>
      <c r="U14" s="282">
        <f>H11</f>
        <v>233</v>
      </c>
      <c r="V14" s="208">
        <f>V13*V15</f>
        <v>228.85118580791666</v>
      </c>
      <c r="W14" s="98">
        <f t="shared" ref="W14:Z14" si="3">W13*W15</f>
        <v>240.29807414706994</v>
      </c>
      <c r="X14" s="98">
        <f t="shared" si="3"/>
        <v>250.60160230442199</v>
      </c>
      <c r="Y14" s="98">
        <f t="shared" si="3"/>
        <v>259.9580578402896</v>
      </c>
      <c r="Z14" s="98">
        <f t="shared" si="3"/>
        <v>268.68754172858843</v>
      </c>
    </row>
    <row r="15" spans="1:27">
      <c r="L15" s="274"/>
      <c r="M15" s="2"/>
      <c r="N15" s="2"/>
      <c r="R15" s="42" t="s">
        <v>362</v>
      </c>
      <c r="S15" t="s">
        <v>4</v>
      </c>
      <c r="T15" s="269">
        <f>G12</f>
        <v>4.1895826593335489E-2</v>
      </c>
      <c r="U15" s="269">
        <f>H12</f>
        <v>3.739967897271268E-2</v>
      </c>
      <c r="V15" s="283">
        <f>$O$14</f>
        <v>3.5367762128325507E-2</v>
      </c>
      <c r="W15" s="284">
        <f t="shared" ref="W15:Z15" si="4">$O$14</f>
        <v>3.5367762128325507E-2</v>
      </c>
      <c r="X15" s="284">
        <f t="shared" si="4"/>
        <v>3.5367762128325507E-2</v>
      </c>
      <c r="Y15" s="284">
        <f t="shared" si="4"/>
        <v>3.5367762128325507E-2</v>
      </c>
      <c r="Z15" s="284">
        <f t="shared" si="4"/>
        <v>3.5367762128325507E-2</v>
      </c>
    </row>
    <row r="16" spans="1:27">
      <c r="T16" s="69"/>
      <c r="U16" s="69"/>
      <c r="V16" s="69"/>
      <c r="W16" s="69"/>
      <c r="X16" s="69"/>
      <c r="Y16" s="69"/>
      <c r="Z16" s="69"/>
    </row>
    <row r="18" spans="1:26">
      <c r="B18" s="5" t="str">
        <f>'3FS'!B206</f>
        <v>Capital Expenditure</v>
      </c>
      <c r="C18" s="5" t="s">
        <v>216</v>
      </c>
      <c r="D18" s="5">
        <f>'3FS'!D206</f>
        <v>-127</v>
      </c>
      <c r="E18" s="5">
        <f>'3FS'!E206</f>
        <v>-169</v>
      </c>
      <c r="F18" s="5">
        <f>'3FS'!F206</f>
        <v>-164</v>
      </c>
      <c r="G18" s="5">
        <f>'3FS'!G206</f>
        <v>-256</v>
      </c>
      <c r="H18" s="5">
        <f>'3FS'!H206</f>
        <v>-178</v>
      </c>
      <c r="I18" s="5">
        <f>'3FS'!I206</f>
        <v>-191</v>
      </c>
      <c r="K18" t="s">
        <v>93</v>
      </c>
      <c r="L18" s="17" t="s">
        <v>407</v>
      </c>
      <c r="M18" s="17"/>
      <c r="N18" s="17"/>
      <c r="O18" s="17"/>
      <c r="P18" s="17"/>
      <c r="R18" s="17" t="s">
        <v>408</v>
      </c>
      <c r="S18" s="17"/>
      <c r="T18" s="17"/>
      <c r="U18" s="17"/>
      <c r="V18" s="17"/>
      <c r="W18" s="17"/>
      <c r="X18" s="17"/>
      <c r="Y18" s="17"/>
      <c r="Z18" s="17"/>
    </row>
    <row r="19" spans="1:26">
      <c r="B19" s="42" t="s">
        <v>362</v>
      </c>
      <c r="C19" t="s">
        <v>4</v>
      </c>
      <c r="D19" s="45">
        <f t="shared" ref="D19:I19" si="5">0-D18/D5</f>
        <v>2.3462035839645297E-2</v>
      </c>
      <c r="E19" s="45">
        <f t="shared" si="5"/>
        <v>2.4907885040530583E-2</v>
      </c>
      <c r="F19" s="45">
        <f t="shared" si="5"/>
        <v>2.5851197982345524E-2</v>
      </c>
      <c r="G19" s="45">
        <f t="shared" si="5"/>
        <v>4.1410546748625043E-2</v>
      </c>
      <c r="H19" s="45">
        <f t="shared" si="5"/>
        <v>2.8571428571428571E-2</v>
      </c>
      <c r="I19" s="45">
        <f t="shared" si="5"/>
        <v>2.9890453834115805E-2</v>
      </c>
      <c r="S19" s="3"/>
      <c r="T19" s="3" t="s">
        <v>206</v>
      </c>
      <c r="U19" s="3" t="s">
        <v>9</v>
      </c>
      <c r="V19" s="40" t="s">
        <v>339</v>
      </c>
      <c r="W19" s="3" t="s">
        <v>10</v>
      </c>
      <c r="X19" s="3" t="s">
        <v>11</v>
      </c>
      <c r="Y19" s="3" t="s">
        <v>12</v>
      </c>
      <c r="Z19" s="3" t="s">
        <v>13</v>
      </c>
    </row>
    <row r="20" spans="1:26">
      <c r="L20" s="46" t="s">
        <v>343</v>
      </c>
      <c r="M20" s="46"/>
      <c r="N20" s="2"/>
      <c r="O20" s="46" t="s">
        <v>403</v>
      </c>
      <c r="P20" s="46"/>
      <c r="R20" s="52" t="str">
        <f>R13</f>
        <v>Total Revenue</v>
      </c>
      <c r="S20" s="52" t="str">
        <f t="shared" ref="S20:Z20" si="6">S13</f>
        <v>($MM)</v>
      </c>
      <c r="T20" s="52">
        <f t="shared" si="6"/>
        <v>6182</v>
      </c>
      <c r="U20" s="52">
        <f t="shared" si="6"/>
        <v>6230</v>
      </c>
      <c r="V20" s="108">
        <f t="shared" si="6"/>
        <v>6470.6153863388827</v>
      </c>
      <c r="W20" s="52">
        <f t="shared" si="6"/>
        <v>6794.2685566361815</v>
      </c>
      <c r="X20" s="52">
        <f t="shared" si="6"/>
        <v>7085.593976660427</v>
      </c>
      <c r="Y20" s="52">
        <f t="shared" si="6"/>
        <v>7350.1415469002241</v>
      </c>
      <c r="Z20" s="52">
        <f t="shared" si="6"/>
        <v>7596.9619099366373</v>
      </c>
    </row>
    <row r="21" spans="1:26">
      <c r="L21" s="2" t="s">
        <v>416</v>
      </c>
      <c r="M21" s="2"/>
      <c r="N21" s="2"/>
      <c r="O21" s="268" t="s">
        <v>16</v>
      </c>
      <c r="P21" s="2"/>
      <c r="R21" s="5" t="s">
        <v>174</v>
      </c>
      <c r="S21" s="5" t="s">
        <v>216</v>
      </c>
      <c r="T21" s="282">
        <f>G18</f>
        <v>-256</v>
      </c>
      <c r="U21" s="282">
        <f>H18</f>
        <v>-178</v>
      </c>
      <c r="V21" s="208">
        <f>0-V20*V22</f>
        <v>-195.88167237771114</v>
      </c>
      <c r="W21" s="282">
        <f t="shared" ref="W21:Z21" si="7">0-W20*W22</f>
        <v>-215.40801304447885</v>
      </c>
      <c r="X21" s="282">
        <f t="shared" si="7"/>
        <v>-234.7899959403332</v>
      </c>
      <c r="Y21" s="282">
        <f t="shared" si="7"/>
        <v>-254.08060270044285</v>
      </c>
      <c r="Z21" s="282">
        <f t="shared" si="7"/>
        <v>-273.49062875771892</v>
      </c>
    </row>
    <row r="22" spans="1:26">
      <c r="L22" s="2" t="s">
        <v>402</v>
      </c>
      <c r="M22" s="2"/>
      <c r="N22" s="2"/>
      <c r="O22" s="113">
        <f>SUM(D19:H19)/5</f>
        <v>2.8840618836515002E-2</v>
      </c>
      <c r="P22" s="113"/>
      <c r="R22" s="42" t="s">
        <v>362</v>
      </c>
      <c r="S22" t="s">
        <v>4</v>
      </c>
      <c r="T22" s="269">
        <f>G19</f>
        <v>4.1410546748625043E-2</v>
      </c>
      <c r="U22" s="269">
        <f>H19</f>
        <v>2.8571428571428571E-2</v>
      </c>
      <c r="V22" s="283">
        <f>'Assumptions and Inputs'!V9</f>
        <v>3.0272495069212001E-2</v>
      </c>
      <c r="W22" s="269">
        <f>'Assumptions and Inputs'!W9</f>
        <v>3.1704371301909E-2</v>
      </c>
      <c r="X22" s="269">
        <f>'Assumptions and Inputs'!X9</f>
        <v>3.3136247534605999E-2</v>
      </c>
      <c r="Y22" s="269">
        <f>'Assumptions and Inputs'!Y9</f>
        <v>3.4568123767302998E-2</v>
      </c>
      <c r="Z22" s="269">
        <f>'Assumptions and Inputs'!Z9</f>
        <v>3.5999999999999997E-2</v>
      </c>
    </row>
    <row r="23" spans="1:26">
      <c r="L23" s="2" t="s">
        <v>413</v>
      </c>
      <c r="M23" s="2"/>
      <c r="N23" s="2"/>
      <c r="O23" s="113">
        <f>Z15+0.02%</f>
        <v>3.5567762128325506E-2</v>
      </c>
      <c r="P23" s="2"/>
    </row>
    <row r="24" spans="1:26">
      <c r="A24" t="s">
        <v>93</v>
      </c>
      <c r="B24" s="5" t="s">
        <v>366</v>
      </c>
    </row>
    <row r="25" spans="1:26">
      <c r="K25" t="s">
        <v>93</v>
      </c>
      <c r="L25" s="291" t="s">
        <v>412</v>
      </c>
      <c r="M25" s="291"/>
      <c r="N25" s="291"/>
      <c r="O25" s="291"/>
      <c r="P25" s="291"/>
      <c r="R25" s="17" t="s">
        <v>420</v>
      </c>
      <c r="S25" s="17"/>
      <c r="T25" s="17"/>
      <c r="U25" s="17"/>
      <c r="V25" s="17"/>
      <c r="W25" s="17"/>
      <c r="X25" s="17"/>
      <c r="Y25" s="17"/>
      <c r="Z25" s="17"/>
    </row>
    <row r="26" spans="1:26">
      <c r="B26" t="str">
        <f>'3FS'!B107</f>
        <v>Accounts Receivable</v>
      </c>
      <c r="C26" t="s">
        <v>216</v>
      </c>
      <c r="D26">
        <f>'3FS'!D107</f>
        <v>121</v>
      </c>
      <c r="E26">
        <f>'3FS'!E107</f>
        <v>162</v>
      </c>
      <c r="F26">
        <f>'3FS'!F107</f>
        <v>141</v>
      </c>
      <c r="G26">
        <f>'3FS'!G107</f>
        <v>152</v>
      </c>
      <c r="H26">
        <f>'3FS'!H107</f>
        <v>159</v>
      </c>
      <c r="I26">
        <f>'3FS'!I107</f>
        <v>190</v>
      </c>
      <c r="S26" s="3"/>
      <c r="T26" s="3" t="s">
        <v>206</v>
      </c>
      <c r="U26" s="3" t="s">
        <v>9</v>
      </c>
      <c r="V26" s="40" t="s">
        <v>339</v>
      </c>
      <c r="W26" s="3" t="s">
        <v>10</v>
      </c>
      <c r="X26" s="3" t="s">
        <v>11</v>
      </c>
      <c r="Y26" s="3" t="s">
        <v>12</v>
      </c>
      <c r="Z26" s="3" t="s">
        <v>13</v>
      </c>
    </row>
    <row r="27" spans="1:26">
      <c r="B27" t="str">
        <f>'3FS'!B110</f>
        <v>Inventory</v>
      </c>
      <c r="C27" t="s">
        <v>216</v>
      </c>
      <c r="D27">
        <f>'3FS'!D110</f>
        <v>701</v>
      </c>
      <c r="E27">
        <f>'3FS'!E110</f>
        <v>949</v>
      </c>
      <c r="F27">
        <f>'3FS'!F110</f>
        <v>1052</v>
      </c>
      <c r="G27">
        <f>'3FS'!G110</f>
        <v>985</v>
      </c>
      <c r="H27">
        <f>'3FS'!H110</f>
        <v>955</v>
      </c>
      <c r="I27">
        <f>'3FS'!I110</f>
        <v>1377</v>
      </c>
      <c r="L27" s="46" t="s">
        <v>343</v>
      </c>
      <c r="M27" s="46"/>
      <c r="N27" s="2"/>
      <c r="O27" s="46" t="s">
        <v>421</v>
      </c>
      <c r="P27" s="46"/>
      <c r="R27" s="52" t="str">
        <f>R20</f>
        <v>Total Revenue</v>
      </c>
      <c r="S27" s="52" t="str">
        <f t="shared" ref="S27:Z27" si="8">S20</f>
        <v>($MM)</v>
      </c>
      <c r="T27" s="52">
        <f t="shared" si="8"/>
        <v>6182</v>
      </c>
      <c r="U27" s="52">
        <f t="shared" si="8"/>
        <v>6230</v>
      </c>
      <c r="V27" s="108">
        <f t="shared" si="8"/>
        <v>6470.6153863388827</v>
      </c>
      <c r="W27" s="52">
        <f t="shared" si="8"/>
        <v>6794.2685566361815</v>
      </c>
      <c r="X27" s="52">
        <f t="shared" si="8"/>
        <v>7085.593976660427</v>
      </c>
      <c r="Y27" s="52">
        <f t="shared" si="8"/>
        <v>7350.1415469002241</v>
      </c>
      <c r="Z27" s="52">
        <f t="shared" si="8"/>
        <v>7596.9619099366373</v>
      </c>
    </row>
    <row r="28" spans="1:26">
      <c r="B28" t="str">
        <f>'3FS'!B127</f>
        <v>Accounts Payable</v>
      </c>
      <c r="C28" t="s">
        <v>216</v>
      </c>
      <c r="D28">
        <f>'3FS'!D127</f>
        <v>338</v>
      </c>
      <c r="E28">
        <f>'3FS'!E127</f>
        <v>538</v>
      </c>
      <c r="F28">
        <f>'3FS'!F127</f>
        <v>481</v>
      </c>
      <c r="G28">
        <f>'3FS'!G127</f>
        <v>513</v>
      </c>
      <c r="H28">
        <f>'3FS'!H127</f>
        <v>419</v>
      </c>
      <c r="I28">
        <f>'3FS'!I127</f>
        <v>546</v>
      </c>
      <c r="L28" s="2" t="s">
        <v>417</v>
      </c>
      <c r="M28" s="2"/>
      <c r="N28" s="2"/>
      <c r="O28" s="268" t="s">
        <v>16</v>
      </c>
      <c r="P28" s="2"/>
      <c r="R28" s="5" t="s">
        <v>422</v>
      </c>
      <c r="S28" s="5" t="s">
        <v>216</v>
      </c>
      <c r="T28" s="282">
        <f>G30</f>
        <v>624</v>
      </c>
      <c r="U28" s="282">
        <f>H30</f>
        <v>695</v>
      </c>
      <c r="V28" s="208">
        <f>V27*V29</f>
        <v>700.39498269619412</v>
      </c>
      <c r="W28" s="282">
        <f t="shared" ref="W28:Z28" si="9">W27*W29</f>
        <v>720.19246700343524</v>
      </c>
      <c r="X28" s="282">
        <f t="shared" si="9"/>
        <v>736.90177357268442</v>
      </c>
      <c r="Y28" s="282">
        <f t="shared" si="9"/>
        <v>749.71443778382286</v>
      </c>
      <c r="Z28" s="282">
        <f t="shared" si="9"/>
        <v>759.69619099366378</v>
      </c>
    </row>
    <row r="29" spans="1:26">
      <c r="L29" s="2" t="s">
        <v>414</v>
      </c>
      <c r="M29" s="2"/>
      <c r="N29" s="2"/>
      <c r="O29" s="292">
        <f>SUM(F31:H31)/3</f>
        <v>0.10824240676936329</v>
      </c>
      <c r="P29" s="113"/>
      <c r="R29" s="42" t="s">
        <v>362</v>
      </c>
      <c r="S29" t="s">
        <v>4</v>
      </c>
      <c r="T29" s="269">
        <f>G31</f>
        <v>0.10093820769977353</v>
      </c>
      <c r="U29" s="269">
        <f>H31</f>
        <v>0.1115569823434992</v>
      </c>
      <c r="V29" s="283">
        <f>'Assumptions and Inputs'!AB9</f>
        <v>0.10824240676936329</v>
      </c>
      <c r="W29" s="269">
        <f>'Assumptions and Inputs'!AC9</f>
        <v>0.106</v>
      </c>
      <c r="X29" s="269">
        <f>'Assumptions and Inputs'!AD9</f>
        <v>0.104</v>
      </c>
      <c r="Y29" s="269">
        <f>'Assumptions and Inputs'!AE9</f>
        <v>0.10199999999999999</v>
      </c>
      <c r="Z29" s="269">
        <f>'Assumptions and Inputs'!AF9</f>
        <v>0.1</v>
      </c>
    </row>
    <row r="30" spans="1:26">
      <c r="B30" s="5" t="s">
        <v>409</v>
      </c>
      <c r="C30" s="5" t="s">
        <v>216</v>
      </c>
      <c r="D30" s="5">
        <f>D26+D27-D28</f>
        <v>484</v>
      </c>
      <c r="E30" s="5">
        <f t="shared" ref="E30:I30" si="10">E26+E27-E28</f>
        <v>573</v>
      </c>
      <c r="F30" s="5">
        <f t="shared" si="10"/>
        <v>712</v>
      </c>
      <c r="G30" s="5">
        <f t="shared" si="10"/>
        <v>624</v>
      </c>
      <c r="H30" s="5">
        <f t="shared" si="10"/>
        <v>695</v>
      </c>
      <c r="I30" s="5">
        <f t="shared" si="10"/>
        <v>1021</v>
      </c>
      <c r="L30" s="2" t="s">
        <v>415</v>
      </c>
      <c r="M30" s="2"/>
      <c r="N30" s="2"/>
      <c r="O30" s="113">
        <f>SUM(D31:H31)/5</f>
        <v>9.9718517591171882E-2</v>
      </c>
      <c r="P30" s="2"/>
      <c r="R30" s="5" t="s">
        <v>423</v>
      </c>
      <c r="S30" s="5" t="s">
        <v>216</v>
      </c>
      <c r="T30" s="5"/>
      <c r="U30" s="264">
        <f>U28-T28</f>
        <v>71</v>
      </c>
      <c r="V30" s="275">
        <f t="shared" ref="V30:Z30" si="11">V28-U28</f>
        <v>5.3949826961941199</v>
      </c>
      <c r="W30" s="264">
        <f t="shared" si="11"/>
        <v>19.79748430724112</v>
      </c>
      <c r="X30" s="264">
        <f t="shared" si="11"/>
        <v>16.709306569249179</v>
      </c>
      <c r="Y30" s="264">
        <f t="shared" si="11"/>
        <v>12.81266421113844</v>
      </c>
      <c r="Z30" s="264">
        <f t="shared" si="11"/>
        <v>9.9817532098409174</v>
      </c>
    </row>
    <row r="31" spans="1:26">
      <c r="B31" s="42" t="s">
        <v>411</v>
      </c>
      <c r="C31" s="42" t="s">
        <v>4</v>
      </c>
      <c r="D31" s="45">
        <f t="shared" ref="D31:I31" si="12">D30/D5</f>
        <v>8.9414372806207273E-2</v>
      </c>
      <c r="E31" s="45">
        <f t="shared" si="12"/>
        <v>8.4450994841562266E-2</v>
      </c>
      <c r="F31" s="45">
        <f t="shared" si="12"/>
        <v>0.11223203026481715</v>
      </c>
      <c r="G31" s="45">
        <f t="shared" si="12"/>
        <v>0.10093820769977353</v>
      </c>
      <c r="H31" s="45">
        <f t="shared" si="12"/>
        <v>0.1115569823434992</v>
      </c>
      <c r="I31" s="45">
        <f t="shared" si="12"/>
        <v>0.15978090766823161</v>
      </c>
    </row>
    <row r="32" spans="1:26">
      <c r="B32" t="s">
        <v>270</v>
      </c>
      <c r="C32" t="s">
        <v>216</v>
      </c>
      <c r="E32">
        <f>E30-D30</f>
        <v>89</v>
      </c>
      <c r="F32">
        <f t="shared" ref="F32:I32" si="13">F30-E30</f>
        <v>139</v>
      </c>
      <c r="G32">
        <f t="shared" si="13"/>
        <v>-88</v>
      </c>
      <c r="H32">
        <f t="shared" si="13"/>
        <v>71</v>
      </c>
      <c r="I32">
        <f t="shared" si="13"/>
        <v>326</v>
      </c>
      <c r="L32" t="s">
        <v>93</v>
      </c>
    </row>
    <row r="33" spans="1:3">
      <c r="A33" t="s">
        <v>93</v>
      </c>
    </row>
    <row r="35" spans="1:3">
      <c r="B35" t="s">
        <v>410</v>
      </c>
      <c r="C35" t="s">
        <v>216</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7FE67-E818-450E-9B3C-69DB906821EF}">
  <dimension ref="A1:B1"/>
  <sheetViews>
    <sheetView workbookViewId="0"/>
  </sheetViews>
  <sheetFormatPr defaultRowHeight="14.4"/>
  <sheetData>
    <row r="1" spans="1:2">
      <c r="A1">
        <v>2</v>
      </c>
      <c r="B1" t="s">
        <v>435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C07BA-4DA5-46D3-8877-ACAE28ACF4D1}">
  <dimension ref="A1:V53"/>
  <sheetViews>
    <sheetView showGridLines="0" tabSelected="1" zoomScale="85" zoomScaleNormal="85" workbookViewId="0">
      <selection activeCell="H6" sqref="H6"/>
    </sheetView>
  </sheetViews>
  <sheetFormatPr defaultRowHeight="14.4"/>
  <cols>
    <col min="1" max="1" width="1.88671875" bestFit="1" customWidth="1"/>
    <col min="3" max="3" width="11" customWidth="1"/>
    <col min="10" max="14" width="10.33203125" bestFit="1" customWidth="1"/>
  </cols>
  <sheetData>
    <row r="1" spans="1:22">
      <c r="B1" s="2" t="str">
        <f>Cover!B7&amp;" "&amp;Cover!B9</f>
        <v>Victoria’s Secret &amp; Co (NYSE:VSCO)</v>
      </c>
      <c r="C1" s="2"/>
      <c r="D1" s="2"/>
      <c r="E1" s="2"/>
      <c r="F1" s="2"/>
      <c r="G1" t="e" vm="1">
        <v>#VALUE!</v>
      </c>
    </row>
    <row r="2" spans="1:22" s="3" customFormat="1">
      <c r="B2" s="59" t="s">
        <v>258</v>
      </c>
      <c r="C2" s="58"/>
      <c r="D2" s="58"/>
      <c r="E2" s="58"/>
      <c r="F2" s="58"/>
    </row>
    <row r="3" spans="1:22">
      <c r="C3" s="60"/>
      <c r="G3" s="60"/>
    </row>
    <row r="4" spans="1:22">
      <c r="A4" t="s">
        <v>93</v>
      </c>
      <c r="B4" s="61" t="s">
        <v>261</v>
      </c>
      <c r="C4" s="63" t="str">
        <f>Cover!B9</f>
        <v>(NYSE:VSCO)</v>
      </c>
      <c r="E4" t="s">
        <v>262</v>
      </c>
      <c r="F4" s="61"/>
      <c r="G4" s="323">
        <f ca="1">E53</f>
        <v>55.550199566081133</v>
      </c>
    </row>
    <row r="5" spans="1:22">
      <c r="B5" s="61" t="s">
        <v>259</v>
      </c>
      <c r="C5" s="64">
        <f ca="1">TODAY()</f>
        <v>46035</v>
      </c>
      <c r="E5" t="s">
        <v>260</v>
      </c>
      <c r="F5" s="61"/>
      <c r="G5" s="62" cm="1">
        <f t="array" aca="1" ref="G5" ca="1">_FV(G1,"Price")</f>
        <v>62.68</v>
      </c>
      <c r="R5" s="118"/>
      <c r="S5" s="122"/>
      <c r="T5" s="123"/>
      <c r="U5" s="123"/>
      <c r="V5" s="122"/>
    </row>
    <row r="6" spans="1:22">
      <c r="C6" s="216"/>
      <c r="G6" s="217"/>
      <c r="R6" s="118"/>
      <c r="S6" s="122"/>
      <c r="T6" s="123"/>
      <c r="U6" s="123"/>
      <c r="V6" s="122"/>
    </row>
    <row r="7" spans="1:22">
      <c r="D7">
        <v>1</v>
      </c>
      <c r="V7" s="118"/>
    </row>
    <row r="8" spans="1:22">
      <c r="A8" t="s">
        <v>93</v>
      </c>
      <c r="B8" s="67" t="s">
        <v>263</v>
      </c>
      <c r="C8" s="65"/>
      <c r="D8" s="65"/>
      <c r="E8" s="65"/>
      <c r="F8" s="65"/>
      <c r="G8" s="65"/>
      <c r="H8" s="65"/>
      <c r="I8" s="65"/>
      <c r="J8" s="65"/>
      <c r="K8" s="65"/>
      <c r="L8" s="65"/>
      <c r="M8" s="65"/>
      <c r="N8" s="65"/>
      <c r="O8" s="65"/>
      <c r="P8" s="65"/>
      <c r="V8" s="130"/>
    </row>
    <row r="9" spans="1:22">
      <c r="V9" s="130"/>
    </row>
    <row r="10" spans="1:22">
      <c r="B10" t="s">
        <v>264</v>
      </c>
      <c r="C10" s="312">
        <f ca="1">WACC!D30/100</f>
        <v>0.12827515591391608</v>
      </c>
      <c r="R10" s="130"/>
      <c r="S10" s="130"/>
      <c r="T10" s="140"/>
      <c r="U10" s="140"/>
      <c r="V10" s="130"/>
    </row>
    <row r="11" spans="1:22">
      <c r="B11" t="s">
        <v>265</v>
      </c>
      <c r="C11" s="313">
        <v>0.02</v>
      </c>
    </row>
    <row r="13" spans="1:22">
      <c r="A13" t="s">
        <v>93</v>
      </c>
      <c r="B13" s="67" t="s">
        <v>91</v>
      </c>
      <c r="C13" s="65"/>
      <c r="D13" s="65"/>
      <c r="E13" s="66"/>
      <c r="F13" s="66" t="str">
        <f>'3FS'!E4</f>
        <v>2021A</v>
      </c>
      <c r="G13" s="66" t="str">
        <f>'3FS'!F4</f>
        <v>2022A</v>
      </c>
      <c r="H13" s="66" t="str">
        <f>'3FS'!G4</f>
        <v>2023A</v>
      </c>
      <c r="I13" s="213" t="str">
        <f>'3FS'!H4</f>
        <v>2024A</v>
      </c>
      <c r="J13" s="66" t="s">
        <v>339</v>
      </c>
      <c r="K13" s="66" t="s">
        <v>10</v>
      </c>
      <c r="L13" s="66" t="s">
        <v>11</v>
      </c>
      <c r="M13" s="66" t="s">
        <v>12</v>
      </c>
      <c r="N13" s="66" t="s">
        <v>13</v>
      </c>
      <c r="O13" s="66"/>
      <c r="P13" s="65"/>
    </row>
    <row r="14" spans="1:22">
      <c r="I14" s="214"/>
    </row>
    <row r="15" spans="1:22">
      <c r="B15" t="s">
        <v>21</v>
      </c>
      <c r="D15" t="s">
        <v>216</v>
      </c>
      <c r="F15" s="69">
        <f>'3FS'!E7</f>
        <v>6785</v>
      </c>
      <c r="G15" s="69">
        <f>'3FS'!F7</f>
        <v>6344</v>
      </c>
      <c r="H15" s="69">
        <f>'3FS'!G7</f>
        <v>6182</v>
      </c>
      <c r="I15" s="218">
        <f>'3FS'!H7</f>
        <v>6230</v>
      </c>
      <c r="J15" s="69">
        <f>'Revenue Build'!AD26</f>
        <v>6470.6153863388827</v>
      </c>
      <c r="K15" s="69">
        <f>'Revenue Build'!AE26</f>
        <v>6794.2685566361815</v>
      </c>
      <c r="L15" s="69">
        <f>'Revenue Build'!AF26</f>
        <v>7085.593976660427</v>
      </c>
      <c r="M15" s="69">
        <f>'Revenue Build'!AG26</f>
        <v>7350.1415469002241</v>
      </c>
      <c r="N15" s="69">
        <f>'Revenue Build'!AH26</f>
        <v>7596.9619099366373</v>
      </c>
    </row>
    <row r="16" spans="1:22">
      <c r="B16" s="42" t="s">
        <v>282</v>
      </c>
      <c r="C16" s="42"/>
      <c r="D16" s="42" t="s">
        <v>4</v>
      </c>
      <c r="F16" s="42"/>
      <c r="G16" s="45">
        <f>G15/F15-1</f>
        <v>-6.4996315401621207E-2</v>
      </c>
      <c r="H16" s="45">
        <f t="shared" ref="H16:N16" si="0">H15/G15-1</f>
        <v>-2.5535939470365698E-2</v>
      </c>
      <c r="I16" s="45">
        <f t="shared" si="0"/>
        <v>7.7644775153671297E-3</v>
      </c>
      <c r="J16" s="265">
        <f t="shared" si="0"/>
        <v>3.8622052381843019E-2</v>
      </c>
      <c r="K16" s="45">
        <f t="shared" si="0"/>
        <v>5.0018916435770944E-2</v>
      </c>
      <c r="L16" s="45">
        <f t="shared" si="0"/>
        <v>4.2878113750699276E-2</v>
      </c>
      <c r="M16" s="45">
        <f t="shared" si="0"/>
        <v>3.7335976505456392E-2</v>
      </c>
      <c r="N16" s="45">
        <f t="shared" si="0"/>
        <v>3.3580355080441215E-2</v>
      </c>
    </row>
    <row r="17" spans="1:16">
      <c r="B17" t="s">
        <v>67</v>
      </c>
      <c r="D17" t="s">
        <v>216</v>
      </c>
      <c r="F17" s="69">
        <f>'3FS'!E10</f>
        <v>2760</v>
      </c>
      <c r="G17" s="69">
        <f>'3FS'!F10</f>
        <v>2272</v>
      </c>
      <c r="H17" s="69">
        <f>'3FS'!G10</f>
        <v>2274</v>
      </c>
      <c r="I17" s="218">
        <f>'3FS'!H10</f>
        <v>2284</v>
      </c>
      <c r="J17" s="69">
        <f>'EBIT Build'!V7</f>
        <v>440.55909094635558</v>
      </c>
      <c r="K17" s="69">
        <f>'EBIT Build'!W7</f>
        <v>564.74364738223642</v>
      </c>
      <c r="L17" s="69">
        <f>'EBIT Build'!X7</f>
        <v>695.48698287369848</v>
      </c>
      <c r="M17" s="69">
        <f>'EBIT Build'!Y7</f>
        <v>831.9591957813509</v>
      </c>
      <c r="N17" s="69">
        <f>'EBIT Build'!Z7</f>
        <v>974.11302308693803</v>
      </c>
    </row>
    <row r="18" spans="1:16">
      <c r="B18" s="42" t="s">
        <v>239</v>
      </c>
      <c r="C18" s="42"/>
      <c r="D18" s="42" t="s">
        <v>4</v>
      </c>
      <c r="F18" s="53">
        <f>F17/F15</f>
        <v>0.40677966101694918</v>
      </c>
      <c r="G18" s="53">
        <f t="shared" ref="G18:N18" si="1">G17/G15</f>
        <v>0.35813366960907944</v>
      </c>
      <c r="H18" s="53">
        <f t="shared" si="1"/>
        <v>0.36784212229052088</v>
      </c>
      <c r="I18" s="266">
        <f t="shared" si="1"/>
        <v>0.36661316211878009</v>
      </c>
      <c r="J18" s="53">
        <f t="shared" si="1"/>
        <v>6.8086119270276524E-2</v>
      </c>
      <c r="K18" s="53">
        <f t="shared" si="1"/>
        <v>8.3120595348064819E-2</v>
      </c>
      <c r="L18" s="53">
        <f t="shared" si="1"/>
        <v>9.8155071425853072E-2</v>
      </c>
      <c r="M18" s="53">
        <f t="shared" si="1"/>
        <v>0.11318954750364137</v>
      </c>
      <c r="N18" s="53">
        <f t="shared" si="1"/>
        <v>0.12822402358142962</v>
      </c>
    </row>
    <row r="19" spans="1:16">
      <c r="B19" t="s">
        <v>389</v>
      </c>
      <c r="D19" t="s">
        <v>216</v>
      </c>
      <c r="F19" s="75" t="str">
        <f>'Assumptions and Inputs'!P6</f>
        <v xml:space="preserve">NA </v>
      </c>
      <c r="G19">
        <f>'Assumptions and Inputs'!Q6</f>
        <v>161</v>
      </c>
      <c r="H19">
        <f>'Assumptions and Inputs'!R6</f>
        <v>74</v>
      </c>
      <c r="I19">
        <f>'Assumptions and Inputs'!S6</f>
        <v>54</v>
      </c>
      <c r="J19" s="270">
        <f>'CF Adjustments'!V6</f>
        <v>105.01386326171398</v>
      </c>
      <c r="K19" s="69">
        <f>'CF Adjustments'!W6</f>
        <v>134.61511380170597</v>
      </c>
      <c r="L19" s="69">
        <f>'CF Adjustments'!X6</f>
        <v>165.77974764500715</v>
      </c>
      <c r="M19" s="69">
        <f>'CF Adjustments'!Y6</f>
        <v>198.30994529572999</v>
      </c>
      <c r="N19" s="69">
        <f>'CF Adjustments'!Z6</f>
        <v>232.19444090500559</v>
      </c>
    </row>
    <row r="20" spans="1:16">
      <c r="B20" s="42" t="s">
        <v>283</v>
      </c>
      <c r="D20" s="42" t="s">
        <v>4</v>
      </c>
      <c r="F20" s="45">
        <f>IFERROR(F19/F17,0)</f>
        <v>0</v>
      </c>
      <c r="G20" s="45">
        <f t="shared" ref="G20:N20" si="2">IFERROR(G19/G17,0)</f>
        <v>7.0862676056338031E-2</v>
      </c>
      <c r="H20" s="45">
        <f t="shared" si="2"/>
        <v>3.2541776605101144E-2</v>
      </c>
      <c r="I20" s="45">
        <f t="shared" si="2"/>
        <v>2.3642732049036778E-2</v>
      </c>
      <c r="J20" s="265">
        <f t="shared" si="2"/>
        <v>0.23836498989530766</v>
      </c>
      <c r="K20" s="45">
        <f t="shared" si="2"/>
        <v>0.23836498989530766</v>
      </c>
      <c r="L20" s="45">
        <f t="shared" si="2"/>
        <v>0.23836498989530766</v>
      </c>
      <c r="M20" s="45">
        <f t="shared" si="2"/>
        <v>0.23836498989530766</v>
      </c>
      <c r="N20" s="45">
        <f t="shared" si="2"/>
        <v>0.23836498989530766</v>
      </c>
    </row>
    <row r="21" spans="1:16">
      <c r="B21" s="42"/>
      <c r="D21" s="42"/>
      <c r="F21" s="45"/>
      <c r="G21" s="45"/>
      <c r="H21" s="45"/>
      <c r="I21" s="45"/>
      <c r="J21" s="300"/>
      <c r="K21" s="45"/>
      <c r="L21" s="45"/>
      <c r="M21" s="45"/>
      <c r="N21" s="45"/>
    </row>
    <row r="22" spans="1:16">
      <c r="B22" s="301" t="s">
        <v>424</v>
      </c>
      <c r="C22" s="302"/>
      <c r="D22" s="302" t="s">
        <v>216</v>
      </c>
      <c r="E22" s="302"/>
      <c r="F22" s="303"/>
      <c r="G22" s="303"/>
      <c r="H22" s="303"/>
      <c r="I22" s="303"/>
      <c r="J22" s="298">
        <f>J17-J19</f>
        <v>335.54522768464159</v>
      </c>
      <c r="K22" s="298">
        <f t="shared" ref="K22:N22" si="3">K17-K19</f>
        <v>430.12853358053042</v>
      </c>
      <c r="L22" s="298">
        <f t="shared" si="3"/>
        <v>529.70723522869139</v>
      </c>
      <c r="M22" s="298">
        <f t="shared" si="3"/>
        <v>633.64925048562088</v>
      </c>
      <c r="N22" s="299">
        <f t="shared" si="3"/>
        <v>741.91858218193238</v>
      </c>
    </row>
    <row r="23" spans="1:16">
      <c r="I23" s="214"/>
    </row>
    <row r="24" spans="1:16">
      <c r="A24" t="s">
        <v>93</v>
      </c>
      <c r="B24" s="67" t="s">
        <v>267</v>
      </c>
      <c r="C24" s="65"/>
      <c r="D24" s="65"/>
      <c r="E24" s="65"/>
      <c r="F24" s="65"/>
      <c r="G24" s="65"/>
      <c r="H24" s="65"/>
      <c r="I24" s="215"/>
      <c r="J24" s="65"/>
      <c r="K24" s="65"/>
      <c r="L24" s="65"/>
      <c r="M24" s="65"/>
      <c r="N24" s="65"/>
      <c r="O24" s="65"/>
      <c r="P24" s="65"/>
    </row>
    <row r="25" spans="1:16">
      <c r="J25" s="295"/>
    </row>
    <row r="26" spans="1:16">
      <c r="B26" t="s">
        <v>268</v>
      </c>
      <c r="F26">
        <f>'3FS'!E189</f>
        <v>303</v>
      </c>
      <c r="G26">
        <f>'3FS'!F189</f>
        <v>274</v>
      </c>
      <c r="H26">
        <f>'3FS'!G189</f>
        <v>259</v>
      </c>
      <c r="I26">
        <f>'3FS'!H189</f>
        <v>233</v>
      </c>
      <c r="J26" s="296">
        <f>'CF Adjustments'!V14</f>
        <v>228.85118580791666</v>
      </c>
      <c r="K26" s="69">
        <f>'CF Adjustments'!W14</f>
        <v>240.29807414706994</v>
      </c>
      <c r="L26" s="69">
        <f>'CF Adjustments'!X14</f>
        <v>250.60160230442199</v>
      </c>
      <c r="M26" s="69">
        <f>'CF Adjustments'!Y14</f>
        <v>259.9580578402896</v>
      </c>
      <c r="N26" s="69">
        <f>'CF Adjustments'!Z14</f>
        <v>268.68754172858843</v>
      </c>
    </row>
    <row r="27" spans="1:16">
      <c r="J27" s="295"/>
    </row>
    <row r="28" spans="1:16">
      <c r="B28" t="s">
        <v>269</v>
      </c>
      <c r="F28">
        <f>'3FS'!E206</f>
        <v>-169</v>
      </c>
      <c r="G28">
        <f>'3FS'!F206</f>
        <v>-164</v>
      </c>
      <c r="H28">
        <f>'3FS'!G206</f>
        <v>-256</v>
      </c>
      <c r="I28">
        <f>'3FS'!H206</f>
        <v>-178</v>
      </c>
      <c r="J28" s="296">
        <f>'CF Adjustments'!V21</f>
        <v>-195.88167237771114</v>
      </c>
      <c r="K28" s="69">
        <f>'CF Adjustments'!W21</f>
        <v>-215.40801304447885</v>
      </c>
      <c r="L28" s="69">
        <f>'CF Adjustments'!X21</f>
        <v>-234.7899959403332</v>
      </c>
      <c r="M28" s="69">
        <f>'CF Adjustments'!Y21</f>
        <v>-254.08060270044285</v>
      </c>
      <c r="N28" s="69">
        <f>'CF Adjustments'!Z21</f>
        <v>-273.49062875771892</v>
      </c>
    </row>
    <row r="29" spans="1:16">
      <c r="J29" s="295"/>
    </row>
    <row r="30" spans="1:16">
      <c r="B30" t="s">
        <v>270</v>
      </c>
      <c r="F30">
        <f>'CF Adjustments'!E32</f>
        <v>89</v>
      </c>
      <c r="G30">
        <f>'CF Adjustments'!F32</f>
        <v>139</v>
      </c>
      <c r="H30">
        <f>'CF Adjustments'!G32</f>
        <v>-88</v>
      </c>
      <c r="I30">
        <f>'CF Adjustments'!H32</f>
        <v>71</v>
      </c>
      <c r="J30" s="297">
        <f>'CF Adjustments'!V30</f>
        <v>5.3949826961941199</v>
      </c>
      <c r="K30" s="52">
        <f>'CF Adjustments'!W30</f>
        <v>19.79748430724112</v>
      </c>
      <c r="L30" s="52">
        <f>'CF Adjustments'!X30</f>
        <v>16.709306569249179</v>
      </c>
      <c r="M30" s="52">
        <f>'CF Adjustments'!Y30</f>
        <v>12.81266421113844</v>
      </c>
      <c r="N30" s="52">
        <f>'CF Adjustments'!Z30</f>
        <v>9.9817532098409174</v>
      </c>
    </row>
    <row r="31" spans="1:16">
      <c r="I31" s="214"/>
    </row>
    <row r="32" spans="1:16">
      <c r="I32" s="214"/>
    </row>
    <row r="33" spans="1:16">
      <c r="A33" t="s">
        <v>93</v>
      </c>
      <c r="B33" s="67" t="s">
        <v>257</v>
      </c>
      <c r="C33" s="65"/>
      <c r="D33" s="65"/>
      <c r="E33" s="65"/>
      <c r="F33" s="65"/>
      <c r="G33" s="65"/>
      <c r="H33" s="65"/>
      <c r="I33" s="215"/>
      <c r="J33" s="65"/>
      <c r="K33" s="65"/>
      <c r="L33" s="65"/>
      <c r="M33" s="65"/>
      <c r="N33" s="65"/>
      <c r="O33" s="65"/>
      <c r="P33" s="65"/>
    </row>
    <row r="34" spans="1:16">
      <c r="B34" s="42" t="s">
        <v>226</v>
      </c>
      <c r="I34" s="214"/>
      <c r="J34" s="42">
        <v>1</v>
      </c>
      <c r="K34" s="42">
        <v>2</v>
      </c>
      <c r="L34" s="42">
        <v>3</v>
      </c>
      <c r="M34" s="42">
        <v>4</v>
      </c>
      <c r="N34" s="42">
        <v>5</v>
      </c>
    </row>
    <row r="35" spans="1:16">
      <c r="B35" s="304" t="s">
        <v>425</v>
      </c>
      <c r="C35" s="302"/>
      <c r="D35" s="302" t="s">
        <v>216</v>
      </c>
      <c r="E35" s="302"/>
      <c r="F35" s="302"/>
      <c r="G35" s="302"/>
      <c r="H35" s="302"/>
      <c r="I35" s="302"/>
      <c r="J35" s="305">
        <f>J22+J26+J28-J30</f>
        <v>363.11975841865302</v>
      </c>
      <c r="K35" s="305">
        <f t="shared" ref="K35:N35" si="4">K22+K26+K28-K30</f>
        <v>435.22111037588047</v>
      </c>
      <c r="L35" s="305">
        <f t="shared" si="4"/>
        <v>528.80953502353088</v>
      </c>
      <c r="M35" s="305">
        <f t="shared" si="4"/>
        <v>626.71404141432924</v>
      </c>
      <c r="N35" s="306">
        <f t="shared" si="4"/>
        <v>727.13374194296102</v>
      </c>
    </row>
    <row r="36" spans="1:16">
      <c r="B36" s="42" t="s">
        <v>426</v>
      </c>
      <c r="I36" s="214"/>
      <c r="J36" s="314">
        <f ca="1">(1+$C$10)^J34</f>
        <v>1.1282751559139161</v>
      </c>
      <c r="K36" s="314">
        <f t="shared" ref="K36:N36" ca="1" si="5">(1+$C$10)^K34</f>
        <v>1.2730048274525718</v>
      </c>
      <c r="L36" s="314">
        <f t="shared" ca="1" si="5"/>
        <v>1.4362997201732184</v>
      </c>
      <c r="M36" s="314">
        <f t="shared" ca="1" si="5"/>
        <v>1.620541290717552</v>
      </c>
      <c r="N36" s="314">
        <f t="shared" ca="1" si="5"/>
        <v>1.828416477449285</v>
      </c>
    </row>
    <row r="37" spans="1:16">
      <c r="B37" s="316" t="s">
        <v>427</v>
      </c>
      <c r="C37" s="317"/>
      <c r="D37" s="317" t="s">
        <v>216</v>
      </c>
      <c r="E37" s="317"/>
      <c r="F37" s="317"/>
      <c r="G37" s="317"/>
      <c r="H37" s="317"/>
      <c r="I37" s="317"/>
      <c r="J37" s="318">
        <f ca="1">J35/J36</f>
        <v>321.83617313147494</v>
      </c>
      <c r="K37" s="318">
        <f t="shared" ref="K37:N37" ca="1" si="6">K35/K36</f>
        <v>341.8848860509097</v>
      </c>
      <c r="L37" s="318">
        <f t="shared" ca="1" si="6"/>
        <v>368.17492031520845</v>
      </c>
      <c r="M37" s="318">
        <f t="shared" ca="1" si="6"/>
        <v>386.73130083395125</v>
      </c>
      <c r="N37" s="319">
        <f t="shared" ca="1" si="6"/>
        <v>397.68496450947652</v>
      </c>
    </row>
    <row r="38" spans="1:16">
      <c r="I38" s="214"/>
    </row>
    <row r="39" spans="1:16">
      <c r="B39" t="s">
        <v>428</v>
      </c>
      <c r="D39" t="s">
        <v>216</v>
      </c>
      <c r="E39" s="69">
        <f ca="1">N39</f>
        <v>6849.9224085300648</v>
      </c>
      <c r="I39" s="315"/>
      <c r="J39" s="315"/>
      <c r="N39" s="69">
        <f ca="1">($N$35*(1+$C$11))/($C$10-$C$11)</f>
        <v>6849.9224085300648</v>
      </c>
    </row>
    <row r="40" spans="1:16">
      <c r="B40" t="s">
        <v>429</v>
      </c>
      <c r="D40" t="s">
        <v>216</v>
      </c>
      <c r="E40" s="69">
        <f ca="1">N40</f>
        <v>3746.3687803152943</v>
      </c>
      <c r="I40" s="315"/>
      <c r="J40" s="315"/>
      <c r="N40" s="69">
        <f ca="1">N39/N36</f>
        <v>3746.3687803152943</v>
      </c>
    </row>
    <row r="41" spans="1:16">
      <c r="I41" s="315"/>
      <c r="J41" s="315"/>
    </row>
    <row r="42" spans="1:16">
      <c r="B42" t="s">
        <v>430</v>
      </c>
      <c r="D42" t="s">
        <v>216</v>
      </c>
      <c r="E42" s="69">
        <f ca="1">SUM(J37:N37)</f>
        <v>1816.3122448410209</v>
      </c>
      <c r="I42" s="315"/>
      <c r="J42" s="315"/>
    </row>
    <row r="43" spans="1:16">
      <c r="B43" t="s">
        <v>431</v>
      </c>
      <c r="D43" t="s">
        <v>216</v>
      </c>
      <c r="E43" s="69">
        <f ca="1">E42+E40</f>
        <v>5562.6810251563147</v>
      </c>
      <c r="I43" s="315"/>
      <c r="J43" s="315"/>
    </row>
    <row r="45" spans="1:16">
      <c r="B45" t="s">
        <v>432</v>
      </c>
      <c r="D45" t="s">
        <v>216</v>
      </c>
      <c r="E45" s="69">
        <f>'3FS'!I129+'3FS'!I136</f>
        <v>1351</v>
      </c>
    </row>
    <row r="46" spans="1:16">
      <c r="B46" t="s">
        <v>433</v>
      </c>
      <c r="D46" t="s">
        <v>216</v>
      </c>
      <c r="E46" s="69">
        <f>'3FS'!I104</f>
        <v>249</v>
      </c>
    </row>
    <row r="47" spans="1:16">
      <c r="B47" t="s">
        <v>434</v>
      </c>
      <c r="E47" s="96">
        <f>E45-E46</f>
        <v>1102</v>
      </c>
    </row>
    <row r="49" spans="2:5">
      <c r="B49" s="5" t="s">
        <v>436</v>
      </c>
      <c r="C49" s="5"/>
      <c r="D49" s="5" t="s">
        <v>216</v>
      </c>
      <c r="E49" s="98">
        <f ca="1">E43-E47</f>
        <v>4460.6810251563147</v>
      </c>
    </row>
    <row r="51" spans="2:5">
      <c r="B51" t="s">
        <v>441</v>
      </c>
      <c r="D51" t="s">
        <v>442</v>
      </c>
      <c r="E51">
        <f>'Assumptions and Inputs'!AJ5</f>
        <v>80.3</v>
      </c>
    </row>
    <row r="53" spans="2:5">
      <c r="B53" s="32" t="s">
        <v>262</v>
      </c>
      <c r="C53" s="321"/>
      <c r="D53" s="321" t="s">
        <v>443</v>
      </c>
      <c r="E53" s="322">
        <f ca="1">E49/E51</f>
        <v>55.550199566081133</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Cover</vt:lpstr>
      <vt:lpstr>3FS</vt:lpstr>
      <vt:lpstr>Assumptions and Inputs</vt:lpstr>
      <vt:lpstr>Scenarios </vt:lpstr>
      <vt:lpstr>Revenue Build</vt:lpstr>
      <vt:lpstr>EBIT Build</vt:lpstr>
      <vt:lpstr>CF Adjustments</vt:lpstr>
      <vt:lpstr>DCF</vt:lpstr>
      <vt:lpstr>WACC</vt:lpstr>
      <vt:lpstr>'Scenarios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louis fletcher</dc:creator>
  <cp:lastModifiedBy>louis fletcher</cp:lastModifiedBy>
  <cp:lastPrinted>2025-12-22T13:14:48Z</cp:lastPrinted>
  <dcterms:created xsi:type="dcterms:W3CDTF">2015-06-05T18:19:34Z</dcterms:created>
  <dcterms:modified xsi:type="dcterms:W3CDTF">2026-01-13T21:31:03Z</dcterms:modified>
</cp:coreProperties>
</file>